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04\Desktop\"/>
    </mc:Choice>
  </mc:AlternateContent>
  <xr:revisionPtr revIDLastSave="0" documentId="13_ncr:1_{FB85A772-9342-4650-9888-7BD95A751D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DICONTAZIONE 2022" sheetId="4" r:id="rId1"/>
  </sheets>
  <definedNames>
    <definedName name="FPOV_202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8" i="4" l="1"/>
  <c r="M239" i="4"/>
  <c r="M230" i="4"/>
  <c r="M231" i="4"/>
  <c r="M233" i="4"/>
  <c r="M234" i="4"/>
  <c r="M235" i="4"/>
  <c r="M236" i="4"/>
  <c r="M237" i="4"/>
  <c r="M229" i="4"/>
  <c r="M227" i="4"/>
  <c r="M220" i="4"/>
  <c r="M215" i="4"/>
  <c r="M216" i="4"/>
  <c r="M217" i="4"/>
  <c r="M218" i="4"/>
  <c r="M219" i="4"/>
  <c r="M206" i="4"/>
  <c r="M207" i="4"/>
  <c r="M208" i="4"/>
  <c r="M209" i="4"/>
  <c r="M210" i="4"/>
  <c r="M211" i="4"/>
  <c r="M212" i="4"/>
  <c r="M193" i="4"/>
  <c r="M194" i="4"/>
  <c r="M195" i="4"/>
  <c r="M196" i="4"/>
  <c r="M197" i="4"/>
  <c r="M198" i="4"/>
  <c r="M199" i="4"/>
  <c r="M200" i="4"/>
  <c r="M201" i="4"/>
  <c r="M202" i="4"/>
  <c r="M178" i="4"/>
  <c r="M179" i="4"/>
  <c r="M180" i="4"/>
  <c r="M181" i="4"/>
  <c r="E180" i="4" s="1"/>
  <c r="M182" i="4"/>
  <c r="M183" i="4"/>
  <c r="E183" i="4" s="1"/>
  <c r="M184" i="4"/>
  <c r="M185" i="4"/>
  <c r="M186" i="4"/>
  <c r="M187" i="4"/>
  <c r="M188" i="4"/>
  <c r="M190" i="4"/>
  <c r="M191" i="4"/>
  <c r="M192" i="4"/>
  <c r="M167" i="4"/>
  <c r="M168" i="4"/>
  <c r="M169" i="4"/>
  <c r="M170" i="4"/>
  <c r="M171" i="4"/>
  <c r="M172" i="4"/>
  <c r="M173" i="4"/>
  <c r="M174" i="4"/>
  <c r="M176" i="4"/>
  <c r="M177" i="4"/>
  <c r="M159" i="4"/>
  <c r="M161" i="4"/>
  <c r="M162" i="4"/>
  <c r="M163" i="4"/>
  <c r="M164" i="4"/>
  <c r="M165" i="4"/>
  <c r="M166" i="4"/>
  <c r="M158" i="4"/>
  <c r="M157" i="4"/>
  <c r="M149" i="4"/>
  <c r="E149" i="4" s="1"/>
  <c r="M147" i="4"/>
  <c r="M144" i="4"/>
  <c r="M145" i="4"/>
  <c r="M146" i="4"/>
  <c r="M141" i="4"/>
  <c r="M142" i="4"/>
  <c r="M143" i="4"/>
  <c r="M140" i="4"/>
  <c r="M138" i="4"/>
  <c r="M133" i="4"/>
  <c r="M134" i="4"/>
  <c r="M135" i="4"/>
  <c r="M136" i="4"/>
  <c r="M137" i="4"/>
  <c r="M132" i="4"/>
  <c r="M130" i="4"/>
  <c r="M120" i="4"/>
  <c r="M121" i="4"/>
  <c r="M122" i="4"/>
  <c r="M123" i="4"/>
  <c r="M124" i="4"/>
  <c r="M125" i="4"/>
  <c r="M126" i="4"/>
  <c r="M127" i="4"/>
  <c r="M115" i="4"/>
  <c r="M117" i="4"/>
  <c r="M118" i="4"/>
  <c r="M110" i="4"/>
  <c r="M112" i="4"/>
  <c r="M113" i="4"/>
  <c r="M114" i="4"/>
  <c r="M103" i="4"/>
  <c r="M104" i="4"/>
  <c r="M105" i="4"/>
  <c r="M107" i="4"/>
  <c r="M108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77" i="4"/>
  <c r="M78" i="4"/>
  <c r="E78" i="4" s="1"/>
  <c r="M79" i="4"/>
  <c r="M80" i="4"/>
  <c r="M81" i="4"/>
  <c r="M82" i="4"/>
  <c r="M83" i="4"/>
  <c r="M84" i="4"/>
  <c r="M85" i="4"/>
  <c r="M86" i="4"/>
  <c r="M87" i="4"/>
  <c r="M75" i="4"/>
  <c r="M76" i="4"/>
  <c r="M70" i="4"/>
  <c r="M71" i="4"/>
  <c r="M72" i="4"/>
  <c r="M73" i="4"/>
  <c r="M69" i="4"/>
  <c r="M64" i="4"/>
  <c r="M65" i="4"/>
  <c r="M66" i="4"/>
  <c r="M67" i="4"/>
  <c r="M63" i="4"/>
  <c r="M59" i="4"/>
  <c r="M52" i="4"/>
  <c r="M53" i="4"/>
  <c r="M44" i="4"/>
  <c r="M45" i="4"/>
  <c r="M46" i="4"/>
  <c r="M47" i="4"/>
  <c r="M48" i="4"/>
  <c r="M49" i="4"/>
  <c r="M50" i="4"/>
  <c r="M51" i="4"/>
  <c r="M43" i="4"/>
  <c r="M37" i="4"/>
  <c r="M38" i="4"/>
  <c r="M39" i="4"/>
  <c r="M28" i="4"/>
  <c r="M29" i="4"/>
  <c r="M30" i="4"/>
  <c r="M31" i="4"/>
  <c r="M32" i="4"/>
  <c r="M33" i="4"/>
  <c r="M34" i="4"/>
  <c r="M35" i="4"/>
  <c r="M36" i="4"/>
  <c r="M23" i="4"/>
  <c r="M24" i="4"/>
  <c r="M25" i="4"/>
  <c r="M26" i="4"/>
  <c r="M11" i="4"/>
  <c r="M12" i="4"/>
  <c r="M13" i="4"/>
  <c r="M14" i="4"/>
  <c r="M15" i="4"/>
  <c r="M17" i="4"/>
  <c r="M18" i="4"/>
  <c r="M19" i="4"/>
  <c r="M20" i="4"/>
  <c r="M21" i="4"/>
  <c r="M8" i="4"/>
  <c r="M9" i="4"/>
  <c r="M10" i="4"/>
  <c r="M7" i="4"/>
  <c r="D130" i="4"/>
  <c r="D159" i="4"/>
  <c r="D169" i="4"/>
  <c r="K243" i="4"/>
  <c r="J243" i="4"/>
  <c r="G243" i="4"/>
  <c r="O242" i="4"/>
  <c r="O241" i="4"/>
  <c r="M241" i="4"/>
  <c r="N240" i="4"/>
  <c r="L240" i="4"/>
  <c r="I240" i="4"/>
  <c r="M240" i="4" s="1"/>
  <c r="O239" i="4"/>
  <c r="O238" i="4"/>
  <c r="O237" i="4"/>
  <c r="O236" i="4"/>
  <c r="O235" i="4"/>
  <c r="O234" i="4"/>
  <c r="O233" i="4"/>
  <c r="L232" i="4"/>
  <c r="O232" i="4" s="1"/>
  <c r="O231" i="4"/>
  <c r="D231" i="4"/>
  <c r="O230" i="4"/>
  <c r="E230" i="4"/>
  <c r="D230" i="4"/>
  <c r="O229" i="4"/>
  <c r="L228" i="4"/>
  <c r="O228" i="4" s="1"/>
  <c r="I228" i="4"/>
  <c r="M228" i="4" s="1"/>
  <c r="O227" i="4"/>
  <c r="D227" i="4"/>
  <c r="O226" i="4"/>
  <c r="M226" i="4"/>
  <c r="E226" i="4" s="1"/>
  <c r="D226" i="4"/>
  <c r="O225" i="4"/>
  <c r="O224" i="4"/>
  <c r="O223" i="4"/>
  <c r="O222" i="4"/>
  <c r="O221" i="4"/>
  <c r="O220" i="4"/>
  <c r="E220" i="4"/>
  <c r="D220" i="4"/>
  <c r="O219" i="4"/>
  <c r="O218" i="4"/>
  <c r="D218" i="4"/>
  <c r="O217" i="4"/>
  <c r="O216" i="4"/>
  <c r="O215" i="4"/>
  <c r="N214" i="4"/>
  <c r="L214" i="4"/>
  <c r="I214" i="4"/>
  <c r="M214" i="4" s="1"/>
  <c r="D214" i="4"/>
  <c r="N213" i="4"/>
  <c r="L213" i="4"/>
  <c r="I213" i="4"/>
  <c r="D213" i="4"/>
  <c r="O212" i="4"/>
  <c r="O211" i="4"/>
  <c r="O210" i="4"/>
  <c r="O209" i="4"/>
  <c r="O208" i="4"/>
  <c r="O207" i="4"/>
  <c r="O206" i="4"/>
  <c r="N205" i="4"/>
  <c r="L205" i="4"/>
  <c r="M205" i="4" s="1"/>
  <c r="O204" i="4"/>
  <c r="N203" i="4"/>
  <c r="L203" i="4"/>
  <c r="O202" i="4"/>
  <c r="O201" i="4"/>
  <c r="O200" i="4"/>
  <c r="O199" i="4"/>
  <c r="O198" i="4"/>
  <c r="O197" i="4"/>
  <c r="O196" i="4"/>
  <c r="O195" i="4"/>
  <c r="D195" i="4"/>
  <c r="O194" i="4"/>
  <c r="E194" i="4"/>
  <c r="D194" i="4"/>
  <c r="O193" i="4"/>
  <c r="E193" i="4"/>
  <c r="D193" i="4"/>
  <c r="O192" i="4"/>
  <c r="O191" i="4"/>
  <c r="O190" i="4"/>
  <c r="O189" i="4"/>
  <c r="O188" i="4"/>
  <c r="O187" i="4"/>
  <c r="D187" i="4"/>
  <c r="O186" i="4"/>
  <c r="O185" i="4"/>
  <c r="O184" i="4"/>
  <c r="O183" i="4"/>
  <c r="D183" i="4"/>
  <c r="O182" i="4"/>
  <c r="O181" i="4"/>
  <c r="O180" i="4"/>
  <c r="D180" i="4"/>
  <c r="O179" i="4"/>
  <c r="E179" i="4"/>
  <c r="D179" i="4"/>
  <c r="O178" i="4"/>
  <c r="O177" i="4"/>
  <c r="O176" i="4"/>
  <c r="N175" i="4"/>
  <c r="L175" i="4"/>
  <c r="M175" i="4" s="1"/>
  <c r="O174" i="4"/>
  <c r="O173" i="4"/>
  <c r="O172" i="4"/>
  <c r="O170" i="4"/>
  <c r="O169" i="4"/>
  <c r="O167" i="4"/>
  <c r="O166" i="4"/>
  <c r="O165" i="4"/>
  <c r="O164" i="4"/>
  <c r="O163" i="4"/>
  <c r="O162" i="4"/>
  <c r="O161" i="4"/>
  <c r="N160" i="4"/>
  <c r="L160" i="4"/>
  <c r="M160" i="4" s="1"/>
  <c r="O159" i="4"/>
  <c r="O158" i="4"/>
  <c r="O157" i="4"/>
  <c r="D157" i="4"/>
  <c r="O156" i="4"/>
  <c r="O155" i="4"/>
  <c r="M155" i="4"/>
  <c r="E155" i="4" s="1"/>
  <c r="D155" i="4"/>
  <c r="O154" i="4"/>
  <c r="O153" i="4"/>
  <c r="O152" i="4"/>
  <c r="O151" i="4"/>
  <c r="O150" i="4"/>
  <c r="O149" i="4"/>
  <c r="D149" i="4"/>
  <c r="N148" i="4"/>
  <c r="O148" i="4" s="1"/>
  <c r="L148" i="4"/>
  <c r="O147" i="4"/>
  <c r="O146" i="4"/>
  <c r="O145" i="4"/>
  <c r="O144" i="4"/>
  <c r="D144" i="4"/>
  <c r="O143" i="4"/>
  <c r="O142" i="4"/>
  <c r="O141" i="4"/>
  <c r="O140" i="4"/>
  <c r="O139" i="4"/>
  <c r="O138" i="4"/>
  <c r="D138" i="4"/>
  <c r="O137" i="4"/>
  <c r="O136" i="4"/>
  <c r="O135" i="4"/>
  <c r="O134" i="4"/>
  <c r="O133" i="4"/>
  <c r="O132" i="4"/>
  <c r="O131" i="4"/>
  <c r="O130" i="4"/>
  <c r="O129" i="4"/>
  <c r="M129" i="4"/>
  <c r="O128" i="4"/>
  <c r="I128" i="4"/>
  <c r="O127" i="4"/>
  <c r="O126" i="4"/>
  <c r="O125" i="4"/>
  <c r="O124" i="4"/>
  <c r="O123" i="4"/>
  <c r="O122" i="4"/>
  <c r="O121" i="4"/>
  <c r="O120" i="4"/>
  <c r="O119" i="4"/>
  <c r="I119" i="4"/>
  <c r="M119" i="4" s="1"/>
  <c r="D119" i="4"/>
  <c r="O118" i="4"/>
  <c r="O117" i="4"/>
  <c r="L116" i="4"/>
  <c r="M116" i="4" s="1"/>
  <c r="O115" i="4"/>
  <c r="O114" i="4"/>
  <c r="O113" i="4"/>
  <c r="O112" i="4"/>
  <c r="O111" i="4"/>
  <c r="I111" i="4"/>
  <c r="M111" i="4" s="1"/>
  <c r="O110" i="4"/>
  <c r="N109" i="4"/>
  <c r="L109" i="4"/>
  <c r="M109" i="4" s="1"/>
  <c r="O108" i="4"/>
  <c r="D108" i="4"/>
  <c r="O107" i="4"/>
  <c r="L106" i="4"/>
  <c r="O106" i="4" s="1"/>
  <c r="O105" i="4"/>
  <c r="O104" i="4"/>
  <c r="O103" i="4"/>
  <c r="N102" i="4"/>
  <c r="L102" i="4"/>
  <c r="M102" i="4" s="1"/>
  <c r="O101" i="4"/>
  <c r="I101" i="4"/>
  <c r="M101" i="4" s="1"/>
  <c r="D101" i="4"/>
  <c r="O100" i="4"/>
  <c r="O99" i="4"/>
  <c r="O98" i="4"/>
  <c r="O97" i="4"/>
  <c r="O96" i="4"/>
  <c r="O95" i="4"/>
  <c r="O94" i="4"/>
  <c r="O93" i="4"/>
  <c r="O92" i="4"/>
  <c r="O91" i="4"/>
  <c r="O90" i="4"/>
  <c r="O89" i="4"/>
  <c r="D89" i="4"/>
  <c r="O88" i="4"/>
  <c r="I88" i="4"/>
  <c r="O87" i="4"/>
  <c r="O86" i="4"/>
  <c r="O85" i="4"/>
  <c r="O84" i="4"/>
  <c r="O83" i="4"/>
  <c r="O82" i="4"/>
  <c r="O81" i="4"/>
  <c r="O80" i="4"/>
  <c r="O79" i="4"/>
  <c r="D79" i="4"/>
  <c r="O78" i="4"/>
  <c r="D78" i="4"/>
  <c r="O77" i="4"/>
  <c r="O76" i="4"/>
  <c r="O75" i="4"/>
  <c r="L74" i="4"/>
  <c r="O74" i="4" s="1"/>
  <c r="O73" i="4"/>
  <c r="O72" i="4"/>
  <c r="O71" i="4"/>
  <c r="O70" i="4"/>
  <c r="O69" i="4"/>
  <c r="D69" i="4"/>
  <c r="O68" i="4"/>
  <c r="O67" i="4"/>
  <c r="O66" i="4"/>
  <c r="O65" i="4"/>
  <c r="O64" i="4"/>
  <c r="O63" i="4"/>
  <c r="O59" i="4"/>
  <c r="O58" i="4"/>
  <c r="I58" i="4"/>
  <c r="M58" i="4" s="1"/>
  <c r="D58" i="4"/>
  <c r="L57" i="4"/>
  <c r="O57" i="4" s="1"/>
  <c r="O56" i="4"/>
  <c r="M56" i="4"/>
  <c r="D56" i="4"/>
  <c r="O55" i="4"/>
  <c r="N54" i="4"/>
  <c r="L54" i="4"/>
  <c r="M54" i="4" s="1"/>
  <c r="O53" i="4"/>
  <c r="O52" i="4"/>
  <c r="O51" i="4"/>
  <c r="O50" i="4"/>
  <c r="O49" i="4"/>
  <c r="O48" i="4"/>
  <c r="O47" i="4"/>
  <c r="O46" i="4"/>
  <c r="O45" i="4"/>
  <c r="O44" i="4"/>
  <c r="O43" i="4"/>
  <c r="N42" i="4"/>
  <c r="L42" i="4"/>
  <c r="N41" i="4"/>
  <c r="L41" i="4"/>
  <c r="O41" i="4" s="1"/>
  <c r="N40" i="4"/>
  <c r="L40" i="4"/>
  <c r="O39" i="4"/>
  <c r="D39" i="4"/>
  <c r="O38" i="4"/>
  <c r="O37" i="4"/>
  <c r="O36" i="4"/>
  <c r="O35" i="4"/>
  <c r="O34" i="4"/>
  <c r="O33" i="4"/>
  <c r="O32" i="4"/>
  <c r="O31" i="4"/>
  <c r="O30" i="4"/>
  <c r="O29" i="4"/>
  <c r="O28" i="4"/>
  <c r="O27" i="4"/>
  <c r="D27" i="4"/>
  <c r="O26" i="4"/>
  <c r="O25" i="4"/>
  <c r="O24" i="4"/>
  <c r="O23" i="4"/>
  <c r="O22" i="4"/>
  <c r="I22" i="4"/>
  <c r="M22" i="4" s="1"/>
  <c r="O21" i="4"/>
  <c r="O20" i="4"/>
  <c r="O19" i="4"/>
  <c r="O18" i="4"/>
  <c r="D18" i="4"/>
  <c r="O17" i="4"/>
  <c r="O16" i="4"/>
  <c r="I16" i="4"/>
  <c r="M16" i="4" s="1"/>
  <c r="H16" i="4"/>
  <c r="D7" i="4" s="1"/>
  <c r="O15" i="4"/>
  <c r="O14" i="4"/>
  <c r="O13" i="4"/>
  <c r="O12" i="4"/>
  <c r="O11" i="4"/>
  <c r="O10" i="4"/>
  <c r="O9" i="4"/>
  <c r="O8" i="4"/>
  <c r="O7" i="4"/>
  <c r="O54" i="4" l="1"/>
  <c r="O40" i="4"/>
  <c r="M213" i="4"/>
  <c r="O205" i="4"/>
  <c r="O214" i="4"/>
  <c r="E169" i="4"/>
  <c r="O160" i="4"/>
  <c r="L243" i="4"/>
  <c r="O175" i="4"/>
  <c r="M106" i="4"/>
  <c r="E101" i="4" s="1"/>
  <c r="M57" i="4"/>
  <c r="E56" i="4" s="1"/>
  <c r="M74" i="4"/>
  <c r="E69" i="4" s="1"/>
  <c r="M232" i="4"/>
  <c r="O42" i="4"/>
  <c r="M40" i="4"/>
  <c r="E138" i="4"/>
  <c r="E130" i="4"/>
  <c r="E108" i="4"/>
  <c r="E58" i="4"/>
  <c r="E7" i="4"/>
  <c r="E79" i="4"/>
  <c r="O109" i="4"/>
  <c r="E218" i="4"/>
  <c r="O240" i="4"/>
  <c r="O102" i="4"/>
  <c r="O116" i="4"/>
  <c r="E159" i="4"/>
  <c r="O203" i="4"/>
  <c r="O213" i="4"/>
  <c r="E231" i="4"/>
  <c r="E227" i="4"/>
  <c r="D243" i="4"/>
  <c r="E18" i="4"/>
  <c r="E89" i="4"/>
  <c r="E157" i="4"/>
  <c r="E214" i="4"/>
  <c r="E213" i="4"/>
  <c r="M128" i="4"/>
  <c r="E119" i="4" s="1"/>
  <c r="H243" i="4"/>
  <c r="M203" i="4" l="1"/>
  <c r="M204" i="4"/>
  <c r="E195" i="4" s="1"/>
  <c r="M189" i="4"/>
  <c r="E187" i="4" s="1"/>
  <c r="M148" i="4"/>
  <c r="E144" i="4" s="1"/>
  <c r="M42" i="4"/>
  <c r="M41" i="4"/>
  <c r="M27" i="4"/>
  <c r="E27" i="4" s="1"/>
  <c r="I243" i="4"/>
  <c r="E39" i="4" l="1"/>
  <c r="E243" i="4" s="1"/>
  <c r="M24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Master</author>
  </authors>
  <commentList>
    <comment ref="M4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Master:</t>
        </r>
        <r>
          <rPr>
            <sz val="9"/>
            <color indexed="81"/>
            <rFont val="Tahoma"/>
            <family val="2"/>
          </rPr>
          <t xml:space="preserve">
ELIMINARE 
</t>
        </r>
      </text>
    </comment>
    <comment ref="N20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Master:</t>
        </r>
        <r>
          <rPr>
            <sz val="9"/>
            <color indexed="81"/>
            <rFont val="Tahoma"/>
            <family val="2"/>
          </rPr>
          <t xml:space="preserve">
LIQUIDAT DET 3267 208631,95; DET 885 80954,08
</t>
        </r>
      </text>
    </comment>
  </commentList>
</comments>
</file>

<file path=xl/sharedStrings.xml><?xml version="1.0" encoding="utf-8"?>
<sst xmlns="http://schemas.openxmlformats.org/spreadsheetml/2006/main" count="563" uniqueCount="360">
  <si>
    <t>SCHEDA PDZ</t>
  </si>
  <si>
    <t>Descrizione</t>
  </si>
  <si>
    <t>RISORSE DISPONIBILI TOTALI PER SCHEDA 2022</t>
  </si>
  <si>
    <t xml:space="preserve">FONTI </t>
  </si>
  <si>
    <t>IMPORTO RISORSE 2022 PER FONTE PER SCHEDA</t>
  </si>
  <si>
    <t>DESCRIZIONE FONTE</t>
  </si>
  <si>
    <t>DERSCRIZIONE IMPEGNI 2022</t>
  </si>
  <si>
    <t>IMPORTO IMPEGNI 2022</t>
  </si>
  <si>
    <t>A.1.</t>
  </si>
  <si>
    <t>Segretariato sociale(ex sch. 8 rete welfare d'accesso) (ex sch. 8 sportello immigrati)</t>
  </si>
  <si>
    <t>A.2.</t>
  </si>
  <si>
    <t>Servizio sociale professionale(ex sch. 9 presa in carico socio sanitaria)(supervisione ssp)</t>
  </si>
  <si>
    <t>A.3.</t>
  </si>
  <si>
    <t>Centri antiviolenza(ex sch 14 cav, sch.16 equipe)</t>
  </si>
  <si>
    <t>B.1.</t>
  </si>
  <si>
    <t>Integrazioni al reddito (ex sch 23 tiroc. Per vittime di vio)  (PRESA IN CARICO SOCIO-LAVORATIVA PATTO DI INCLUSIONE RED E DONNE VITTIME DI VIOLENZA)</t>
  </si>
  <si>
    <t>B.2.</t>
  </si>
  <si>
    <t>Sostegno socio-educativo territoriale o domiciliare(ex sch. 3 ade)</t>
  </si>
  <si>
    <t>B.3.</t>
  </si>
  <si>
    <t>Sostegno socio-educativo scolastico(ex sch.13 int.scol)</t>
  </si>
  <si>
    <t>B.4.</t>
  </si>
  <si>
    <t>Supporto alle famiglie e alle reti familiari(ex sch. 2 centro ascolto)(ex sch. 4 affido e adozione)</t>
  </si>
  <si>
    <t>B.5.</t>
  </si>
  <si>
    <t>Attività di mediazione (solo per rdc)</t>
  </si>
  <si>
    <t>B.6.</t>
  </si>
  <si>
    <t>Sostegno all'inserimento lavorativo(ex. Sch. 7 perc. Di incl. Lav. Puc e tirocini)( corsi form rdc)BENEFICIARI RDC</t>
  </si>
  <si>
    <t>B.7.</t>
  </si>
  <si>
    <t>Pronto intervento sociale e Interventi per le povertà estreme(ex. Sch. 6 pis)</t>
  </si>
  <si>
    <t>B.8.</t>
  </si>
  <si>
    <t>Altri interventi per l'integrazione e l'inclusione sociale (ex sch. 18 dipen. Patologiche)(ex sch 20 barr.arch)</t>
  </si>
  <si>
    <t>C.1.</t>
  </si>
  <si>
    <t>Assistenza domiciliare socio-assistenziale(ex sch. 10 sad)</t>
  </si>
  <si>
    <t>C.2.</t>
  </si>
  <si>
    <t>Assistenza domiciliare Integrata con servizi sanitari(ex. sch. 10 adi)</t>
  </si>
  <si>
    <t>C.3.</t>
  </si>
  <si>
    <t>Altri interventi per la domiciliarità( dimissioni protette)</t>
  </si>
  <si>
    <t>C.4.</t>
  </si>
  <si>
    <t>Trasporto sociale( ex. Sch 23 )</t>
  </si>
  <si>
    <t>D.1.</t>
  </si>
  <si>
    <t>Centri con funzione socio-educativa-ricreativa(ex sch. 12 centri diurni anz.dis art. 105,art. 106 cap  )</t>
  </si>
  <si>
    <t>D.2.</t>
  </si>
  <si>
    <t>Centri con funzione socio-assistenziale(ex sch. 5 serv. Ciclo diurno minori)</t>
  </si>
  <si>
    <t>D.3.</t>
  </si>
  <si>
    <t>Centri e attività a carattere socio-sanitario ( ex sch. 12 rsa ex art.67, art 60)</t>
  </si>
  <si>
    <t>D.4.</t>
  </si>
  <si>
    <t xml:space="preserve">Centri servizi per povertà estrema </t>
  </si>
  <si>
    <t>D.5.</t>
  </si>
  <si>
    <t>Integrazione retta/voucher per centri diurni (voucher art. 52)</t>
  </si>
  <si>
    <t>E.1.</t>
  </si>
  <si>
    <t>Alloggi per accoglienza di emergenza (ex sch. 15 case rifugio)</t>
  </si>
  <si>
    <t>E.2.</t>
  </si>
  <si>
    <t>Alloggi protetti(ex sch. 22 disagio spichico)</t>
  </si>
  <si>
    <t>E.3.</t>
  </si>
  <si>
    <t>Strutture per minori a carattere familiare (careleavers)</t>
  </si>
  <si>
    <t>E.4.</t>
  </si>
  <si>
    <t>Strutture comunitarie a carattere socio-assistenziale(ex sch 19 str. Res. Per minori)</t>
  </si>
  <si>
    <t>E.5.</t>
  </si>
  <si>
    <t>Strutture comunitarie a carattere socio-sanitario(ex sch 21 altre str. Per dis e anz)</t>
  </si>
  <si>
    <t>E.6.</t>
  </si>
  <si>
    <t>Strutture di accoglienza notturna per povertà estrema</t>
  </si>
  <si>
    <t>E.7.</t>
  </si>
  <si>
    <t>Servizi per Aree attrezzate di sosta per comuità rom, sinti e caminanti</t>
  </si>
  <si>
    <t>E.8.</t>
  </si>
  <si>
    <t>Integrazione retta/voucher per strutture residenziali</t>
  </si>
  <si>
    <t>F.1</t>
  </si>
  <si>
    <t>Potenziamento professioni sociali (ex sch. 24 formazione personale)</t>
  </si>
  <si>
    <t>F.2</t>
  </si>
  <si>
    <t>Progetti di Vita Indipendente e per il "dopo di noi"(ex sch. 11 provi dopo di noi)</t>
  </si>
  <si>
    <t>F.3</t>
  </si>
  <si>
    <t>Progetti sperimentali per il sostegno alla figura del "care-giver" familiare</t>
  </si>
  <si>
    <t>F.4</t>
  </si>
  <si>
    <t>Servizi sociali per la prima infanzia (asili nido e innovativi)(ex sch. 1 asili nido)</t>
  </si>
  <si>
    <t>F.5</t>
  </si>
  <si>
    <t>Centri per maschi maltrattanti (CAM)</t>
  </si>
  <si>
    <t>F.6</t>
  </si>
  <si>
    <t>Interventi conciliazione vita-lavoro (BUONI SERVIZIO INFANZIA)</t>
  </si>
  <si>
    <t>F.7</t>
  </si>
  <si>
    <t>Interventi di inclusione per LGBTI</t>
  </si>
  <si>
    <t>T</t>
  </si>
  <si>
    <t>Ufficio di Piano, sistemi informativi e azioni di monitoraggio e valutazione della qualità</t>
  </si>
  <si>
    <t>TOT</t>
  </si>
  <si>
    <t>TOTALE DELLE RISORSE PROGRAMMATE</t>
  </si>
  <si>
    <t>RISORSE DISPONIBILI TOTALI PER SCHEDA AL 31/12/2022</t>
  </si>
  <si>
    <t>RESIDUO RISORSE PER FONTE AL 31/12/2022</t>
  </si>
  <si>
    <t>FNPS 2019</t>
  </si>
  <si>
    <t>FGSA 2019</t>
  </si>
  <si>
    <t>FNPS 2020</t>
  </si>
  <si>
    <t>FGSA 2021</t>
  </si>
  <si>
    <t>FNA 2020</t>
  </si>
  <si>
    <t>FNPS 2021</t>
  </si>
  <si>
    <t>FNPS 2022</t>
  </si>
  <si>
    <t>FNPS 2023</t>
  </si>
  <si>
    <t>FNA 2021</t>
  </si>
  <si>
    <t>FGSA 2022</t>
  </si>
  <si>
    <t>FGSA 2023</t>
  </si>
  <si>
    <t>FGSA 2024</t>
  </si>
  <si>
    <t>FPOV 2021</t>
  </si>
  <si>
    <t>RISORSE COMUNALI 2022</t>
  </si>
  <si>
    <t>RISORSE COMUNALI 2023</t>
  </si>
  <si>
    <t>RISORSE COMUNALI 2024</t>
  </si>
  <si>
    <t>PNRR - MISSIONE 5</t>
  </si>
  <si>
    <t>BS MINORI 21/22</t>
  </si>
  <si>
    <t>BS MINORI ANN PONTE 22/23</t>
  </si>
  <si>
    <t>CARE GIVERS</t>
  </si>
  <si>
    <t>PrinS - REACT EU - PON INCLUSIONE</t>
  </si>
  <si>
    <t>FONDO PER L'ASSISTENZA ALL'AUTONOMIA E ALLA COMUNICAZIONE DEGLI ALUNNI CON DISABILITA'</t>
  </si>
  <si>
    <t>PIANO REGIONALE POLITICHE FAMILIARI D.G.R. 220/2020</t>
  </si>
  <si>
    <t>FPOV 3^ ANN CARE LEAVERS</t>
  </si>
  <si>
    <t>COFINANZIAMENTO REG 3^ ANN CARE LEAVERS</t>
  </si>
  <si>
    <t>FONDO REG "DALLA LORO PARTE"</t>
  </si>
  <si>
    <t>FNIA</t>
  </si>
  <si>
    <t>FNMSNA</t>
  </si>
  <si>
    <t>CONTRIBUTI DIGITAL DIVIDE</t>
  </si>
  <si>
    <t>L.R. 431/98</t>
  </si>
  <si>
    <t>FPOV ESTREMA 2021</t>
  </si>
  <si>
    <t>FAMI</t>
  </si>
  <si>
    <t>L.R. 10/2021</t>
  </si>
  <si>
    <t>CENTRI ESSTIVI INVERNALI - MISURE PER IL CONTRASTO POVERTA' EDUCATIVA</t>
  </si>
  <si>
    <t>FONDI ILVA</t>
  </si>
  <si>
    <t>N. SCHEDA DI DETTAGLIO</t>
  </si>
  <si>
    <t>FPOV 2018</t>
  </si>
  <si>
    <t>FPOV 2019</t>
  </si>
  <si>
    <t>FPOV 2020</t>
  </si>
  <si>
    <t>L.R. 29/2014 CONTINUITA' AV</t>
  </si>
  <si>
    <t>FPOV ESTREMA 2018</t>
  </si>
  <si>
    <t>FPOV ESTREMA 2019</t>
  </si>
  <si>
    <t>FPOV ESTREMA 2020</t>
  </si>
  <si>
    <t>FGSA 2024 DISABILI</t>
  </si>
  <si>
    <t>FGSA 2023 DISABILI</t>
  </si>
  <si>
    <t>PAIS</t>
  </si>
  <si>
    <t>FNIA (Centro Spazio Giovani)</t>
  </si>
  <si>
    <t>A.D. 821/2018 e 867/2020</t>
  </si>
  <si>
    <t>S.A.D.-aggiudicazione MEDIHOSPES (4706 DEL 23/06/22)</t>
  </si>
  <si>
    <t>DD. 7039 del 26/09/2022</t>
  </si>
  <si>
    <t>FPOV 2020 (365.549,84 2023 - 365.549,84 2024)</t>
  </si>
  <si>
    <t>FPOV 2018 (2022)</t>
  </si>
  <si>
    <t>FPOV 2019 (2022)</t>
  </si>
  <si>
    <t>FPOV 2021 (2023)</t>
  </si>
  <si>
    <t>RISORSE COMUNALI 2024 (2024)</t>
  </si>
  <si>
    <t>FPOV 2021 (2024)</t>
  </si>
  <si>
    <t>RISORSE COMUNALI 2023 (2023)</t>
  </si>
  <si>
    <t>RISORSE COMUNALI 2022 (2022)</t>
  </si>
  <si>
    <t>FPOV 2021 (2022)</t>
  </si>
  <si>
    <t>PAIS ATTREZZATURE SSP (2022)</t>
  </si>
  <si>
    <t>PAIS PER SSP (2022)</t>
  </si>
  <si>
    <t>FNPS 2021 Supervisione SSP (2022)</t>
  </si>
  <si>
    <t>FNPS 2022 Supervisione SSP (2023)</t>
  </si>
  <si>
    <t>FNPS 2023 Supervisione SSP (2024)</t>
  </si>
  <si>
    <t>FONDO REG "DALLA LORO PARTE" (2022)</t>
  </si>
  <si>
    <t>FNPS 2019 CAV (2022)</t>
  </si>
  <si>
    <t>FNPS 2020 CAV (2022)</t>
  </si>
  <si>
    <t>L.R. 29/2014 CONTINUITA' AV (2022)</t>
  </si>
  <si>
    <t>FNPS 2021 CAV (2022)</t>
  </si>
  <si>
    <t>FNPS 2022 CAV (2023)</t>
  </si>
  <si>
    <t>FNPS 2023 CAV (2024)</t>
  </si>
  <si>
    <t>RISORSE COMUNALI 2022 CONTRIBUTI FITTO (2022)</t>
  </si>
  <si>
    <t>RISORSE COMUNALI 2023 (300.000 CONTRIBUTI ABITATIVI - 200.000 CONTRIBUTI FITTO - 2023)</t>
  </si>
  <si>
    <t>RISORSE COMUNALI 2024 (300.000 CONTRIBUTI ABITATIVI - 200.000 CONTRIBUTI FITTO - 2024)</t>
  </si>
  <si>
    <t>L.R. 431/98 (2022)</t>
  </si>
  <si>
    <t>RISORSE COMUNALI 2022 CONTRIBUTI IN STATO DI BISOGNO (2022)</t>
  </si>
  <si>
    <t>RISORSE COMUNALI 2023 CONTRIBUTI IN STATO DI BISOGNO (2023)</t>
  </si>
  <si>
    <t>RISORSE COMUNALI 2024 CONTRIBUTI IN STATO DI BISOGNO (2024)</t>
  </si>
  <si>
    <t>PIANO REGIONALE POLITICHE FAMILIARI D.G.R. 220/2020 PER FAMIGLIE NUMEROSE (2022)</t>
  </si>
  <si>
    <t>FNIA Sostegno alla genitorialità - Progetto "Famiglia insieme" (2022)</t>
  </si>
  <si>
    <t>FNIA Sostegno alle famiglie affidatarie (2022)</t>
  </si>
  <si>
    <t>FNIA ADE (2022)</t>
  </si>
  <si>
    <t>FNPS 2021 FAMIGLIA E MINORI (2022)</t>
  </si>
  <si>
    <t>FGSA 2022 (2022)</t>
  </si>
  <si>
    <t>FONDO PER L'ASSISTENZA ALL'AUTONOMIA E ALLA COMUNICAZIONE DEGLI ALUNNI CON DISABILITA' (2022)</t>
  </si>
  <si>
    <t>FNPS 2019 INDISTINTA (2022)</t>
  </si>
  <si>
    <t>FNPS 2020 FAMIGLIA E MINORI (2022)</t>
  </si>
  <si>
    <t>FNPS 2022 MINORI E FAMIGLIA (2023)</t>
  </si>
  <si>
    <t>FNPS 2023 MINORI E FAMIGLIA (2024)</t>
  </si>
  <si>
    <t>FNIA (2022)</t>
  </si>
  <si>
    <t>PNRR - MISSIONE 5 P.I.P.P.I. (20.000 2022 - 95.750 2023 - 95.750 2024)</t>
  </si>
  <si>
    <t>PIANO POLITICHE FAMILIARI (2022)</t>
  </si>
  <si>
    <t>FNPS 2020 FAMIGLIA E INFANZIA (2022)</t>
  </si>
  <si>
    <t>FNPS 2021 INDISTINTA (2022)</t>
  </si>
  <si>
    <t>FGSA 2023 (2023)</t>
  </si>
  <si>
    <t>FPOV 2020 (2022)</t>
  </si>
  <si>
    <t>PAIS TIROCINI (2022)</t>
  </si>
  <si>
    <t>FPOV ESTREMA 2021 (2022)</t>
  </si>
  <si>
    <t>FPOV ESTREMA 2018 (2022)</t>
  </si>
  <si>
    <t>FPOV ESTREMA 2019 (2022)</t>
  </si>
  <si>
    <t>FPOV ESTREMA 2021 (2023)</t>
  </si>
  <si>
    <t>FPOV ESTREMA 2020 (2022)</t>
  </si>
  <si>
    <t>PNRR - MISSIONE 5 HOUSING FIRST 2023</t>
  </si>
  <si>
    <t>PNRR - MISSIONE 5 HOUSING FIRST 2024</t>
  </si>
  <si>
    <t>FAMI LGNet Emergency Assistance 2014-2020 (147.490,40 2022 - 257.842,80 2023)</t>
  </si>
  <si>
    <t>CONTRIBUTI DIGITAL DIVIDE (2022)</t>
  </si>
  <si>
    <t>BS ANZIANI VII ANN</t>
  </si>
  <si>
    <t>BS ANZIANI VII ANN (2022)</t>
  </si>
  <si>
    <t>FNA 2020 (2022)</t>
  </si>
  <si>
    <t>FGSA 2021 (2022)</t>
  </si>
  <si>
    <t>DISAGI PSICHICI (2022)</t>
  </si>
  <si>
    <t>DISABILI (2022)</t>
  </si>
  <si>
    <t>FONDI ILVA 2023 PROGETTO AMO TARANTO</t>
  </si>
  <si>
    <t>FONDI ILVA 2024 PROGETTO AMO TARANTO</t>
  </si>
  <si>
    <t>FONDI ILVA 2023 HOUSING FIRST</t>
  </si>
  <si>
    <t>FONDI ILVA 2024 HOUSING FIRST</t>
  </si>
  <si>
    <t>FONDI ILVA 2023 MARKET DELLA SOLIDARIETA'</t>
  </si>
  <si>
    <t>FNPS 2020 INDISTINTA (2022)</t>
  </si>
  <si>
    <t>RISORSE COMUNALI 2022 PASTI CALDI</t>
  </si>
  <si>
    <t>RISORSE COMUNALI 2023 PASTI CALDI</t>
  </si>
  <si>
    <t>RISORSE COMUNALI 2024 PASTI CALDI</t>
  </si>
  <si>
    <t>PNRR - MISSIONE 5 (165.000 2023 - 165.000 2024 - DIMISSIONI PROTETTE)</t>
  </si>
  <si>
    <t>FNPS 2021 DIMISSIONI PROTETTE (2022)</t>
  </si>
  <si>
    <t>FNPS 2022 DIMISSIONI PROTETTE (2023)</t>
  </si>
  <si>
    <t>FNPS 2023 DIMISSIONI PROTETTE (2024)</t>
  </si>
  <si>
    <t>FONDI ILVA (2.500.000 2022 - 2.500.000 2023 - 2.500.000 2024) Assistenza minori 3/18 anni</t>
  </si>
  <si>
    <t>FONDI ILVA SILVER SOCIETY (325.000 2023 - 325.000 2024)</t>
  </si>
  <si>
    <t>PRIMA ASSEGNAZIONE 2022</t>
  </si>
  <si>
    <t>ECONOMIE 2022</t>
  </si>
  <si>
    <t>RISORSE COMUNALI 2022 OSS AGGIUNTIVI</t>
  </si>
  <si>
    <t>RISORSE COMUNALI 2023 OSS AGGIUNTIVI</t>
  </si>
  <si>
    <t>RISORSE COMUNALI 2023 Centri semiresidenziali minori</t>
  </si>
  <si>
    <t>RISORSE COMUNALI 2022 Centri semiresidenziali minori</t>
  </si>
  <si>
    <t>RISORSE COMUNALI 2024 OSS AGGIUNTIVI</t>
  </si>
  <si>
    <t>RISORSE COMUNALI 2024 Centri semiresidenziali minori</t>
  </si>
  <si>
    <t>RISORSE COMUNALI 2022 CASE RIFUGIO</t>
  </si>
  <si>
    <t>RISORSE COMUNALI 2023 CASE RIFUGIO</t>
  </si>
  <si>
    <t>RISORSE COMUNALI 2024 CASE RIFUGIO</t>
  </si>
  <si>
    <t>FNPS 2019 VIOLENZA CASE RIFUGIO (2022)</t>
  </si>
  <si>
    <t>FNPS 2020 VIOLENZA CASE RIFUGIO (2022)</t>
  </si>
  <si>
    <t>FNPS 2021 VIOLENZA CASE RIFUGIO (2022)</t>
  </si>
  <si>
    <t>FNPS 2022 VIOLENZA CASE RIFUGIO (2023)</t>
  </si>
  <si>
    <t>FNPS 2023 VIOLENZA CASE RIFUGIO (2024)</t>
  </si>
  <si>
    <t>PIANO REGIONALE POLITICHE FAMILIARI D.G.R. 220/2020 CARE LEAVERS (2022)</t>
  </si>
  <si>
    <t>COFINANZIAMENTO REG 3^ ANN CARE LEAVERS (2022)</t>
  </si>
  <si>
    <t>FPOV 3^ ANN CARE LEAVERS (2022)</t>
  </si>
  <si>
    <t>FNMSNA (1.500.000 2022 - 1.500.000 2023 - 1.500.000 2024)</t>
  </si>
  <si>
    <t xml:space="preserve">FGSA 2023 </t>
  </si>
  <si>
    <t>RISORSE COMUNALI 2022 CASE PER LA VITA - VIA PATELLE</t>
  </si>
  <si>
    <t>RISORSE COMUNALI 2023 (80.954,08 CASE PER LA VITA VIA PATELLE - 15.000 CASE PER LA VITA TAMBURI)</t>
  </si>
  <si>
    <t>RISORSE COMUNALI 2024 (80.954,15 CASE PER LA VITA VIA PATELLE - 15.000 CASE PER LA VITA TAMBURI)</t>
  </si>
  <si>
    <t>FGSA 2019 (2023)</t>
  </si>
  <si>
    <t>RISORSE COMUNALI 2024 RETTE MINORI IN STRUTTURA</t>
  </si>
  <si>
    <t>RISORSE COMUNALI 2023 RETTE MINORI IN STRUTTURA</t>
  </si>
  <si>
    <t>RISORSE COMUNALI 2022 RETTE MINORI IN STRUTTURA</t>
  </si>
  <si>
    <t>FNPS 2021 FAMIGLIA E MINORI (DISABILI) 2022</t>
  </si>
  <si>
    <t>FNPS 2021 INDISTINTA PER DISABILI (2023)</t>
  </si>
  <si>
    <t>FNPS 2022 INDISTINTA PER DISABILI (2023)</t>
  </si>
  <si>
    <t>FNPS 2022 FAMIGLIA E MINORI (DISABILI) 2023</t>
  </si>
  <si>
    <t>FNPS 2023 FAMIGLIA E MINORI (DISABILI) 2024</t>
  </si>
  <si>
    <t>FNPS 2023 INDISTINTA PER DISABILI (2024)</t>
  </si>
  <si>
    <t>BILANCIO COMUNALE PER DISABILI (2022)</t>
  </si>
  <si>
    <t>BILANCIO COMUNALE PER DISABILI (2023)</t>
  </si>
  <si>
    <t>BILANCIO COMUNALE PER DISABILI (2024)</t>
  </si>
  <si>
    <t>L.R. 10/2021 AMMINISTRATORI DI SOSTEGNO (2022)</t>
  </si>
  <si>
    <t>PROVI (2022)</t>
  </si>
  <si>
    <t>PNRR - MISSIONE 5 Percorsi di autonomia per persone con disabilità (65.000 2022 - 832.500 2023 - 532.500 2024)</t>
  </si>
  <si>
    <t>CARE GIVERS (2022)</t>
  </si>
  <si>
    <t>FONDI ILVA 2022 HELP VOUCHER</t>
  </si>
  <si>
    <t>BS MINORI ANN PONTE 22/23 (2022)</t>
  </si>
  <si>
    <t>BS MINORI 21/22 (2022)</t>
  </si>
  <si>
    <t>RISORSE COMUNALI 2022 - Personale interno</t>
  </si>
  <si>
    <t>RISORSE COMUNALI 2023 - Personale interno</t>
  </si>
  <si>
    <t>RISORSE COMUNALI 2024 - Personale interno</t>
  </si>
  <si>
    <t>PAIS (2022)</t>
  </si>
  <si>
    <t>DD. 7600 del 13/10/2022</t>
  </si>
  <si>
    <t>DD. 5398 del 18/07/2022</t>
  </si>
  <si>
    <t>RISORSE COMUNALI 2022 per barriere architettoniche</t>
  </si>
  <si>
    <t>RISORSE COMUNALI 2023 per barriere architettoniche</t>
  </si>
  <si>
    <t>RISORSE COMUNALI 2024 per barriere architettoniche</t>
  </si>
  <si>
    <t>FGSA 2022 (25.000 2023 - 25.000 2024) per barriere architettoniche</t>
  </si>
  <si>
    <t>RISORSE COMUNALI 2022 sportello lis</t>
  </si>
  <si>
    <t>BILANCIO COMUNALE PER ANZ. N.A. (2022) case di riposo</t>
  </si>
  <si>
    <t xml:space="preserve">BILANCIO COMUNALE PER ANZ. N.A. (2023) case di riposo </t>
  </si>
  <si>
    <t xml:space="preserve">BILANCIO COMUNALE PER ANZ. N.A. (2024) case di riposo </t>
  </si>
  <si>
    <t>RISORSE COMUNALI 2022 centri anziani</t>
  </si>
  <si>
    <t>RISORSE COMUNALI 2023 centri anziani</t>
  </si>
  <si>
    <t>RISORSE COMUNALI 2024 centri anziani</t>
  </si>
  <si>
    <t>RISORSE COMUNALI 2022 (2022) latte formulato</t>
  </si>
  <si>
    <t>RISORSE COMUNALI 2023 (2023) latte formulato</t>
  </si>
  <si>
    <t>RISORSE COMUNALI 2024 (2024) latte formulato</t>
  </si>
  <si>
    <t>RISORSE COMUNALI 2022 (2022) servizi funebri</t>
  </si>
  <si>
    <t>RISORSE COMUNALI 2023 (2023)  servizi funebri</t>
  </si>
  <si>
    <t>RISORSE COMUNALI 2024 (2024) servizi funebri</t>
  </si>
  <si>
    <t>ADI. PRENOTAZIONE DA CONSIDERARE IMPEGNO PER RAGIONI DI ESIGIBILITA' DELLA RAGIONERIA (7744 DEL 18/10/2022)</t>
  </si>
  <si>
    <t>CONTRIBUTI FITTI (5226 DEL 12/07/2022)</t>
  </si>
  <si>
    <t>VARIAZIONE IN DIMINUZIONE DELLA RAGIONERIA DA €  6666,64</t>
  </si>
  <si>
    <t>CONTRIBUTI IN STATO DI BISOGNO (8211 DEL 07/11/2022 PER 90000; 5863 DEL 04/08/2022 PER 40000; 4027 DEL 30/05/2022 PER 40000; 3268 DEL 29/04/2022 PER 40000; 2188 DEL 12/03/2022 PER 40000; 883 DEL 30/01/2022 PER 50000)</t>
  </si>
  <si>
    <t>CENTRO ANTIVIOLENZA( 6994 DEL 08/10/2021)</t>
  </si>
  <si>
    <t>PUA (5341 DEL 05/08/2021)</t>
  </si>
  <si>
    <t>LATTE (2206 DEL 15/03/2022 PER € 6661,87; 4743 DEL 24/06/2022 PER € 10333,34)</t>
  </si>
  <si>
    <t>LIQUIDATO AL 31/12/2022</t>
  </si>
  <si>
    <t>RESIDUO IMPEGNO DA LIQUIDARE AL 31/12/2022</t>
  </si>
  <si>
    <t>CONTRIBUTI FITTI (5226 DEL 12/07/2022) DA € 98324,96 SONO CONFLUITI IN AVANZO  35854,86</t>
  </si>
  <si>
    <t>DALL'IMPEGNO INIZIALE DI € 98324,96, € 35854,86 SONO CONFLUITI IN AVANZO</t>
  </si>
  <si>
    <t>SPESE FUNEBRI ( 3567 DEL 09/05/2022 PER € 1200 CON VARIAZIONE DI 1,50; 5510 DEL 21/07/2022 PER € 1000; 6271 DEL 26/08/2022 PER € 6700; 5630 DEL 28/07/2022 PER € 550 CON VARIAZIONE DI 50; 601,50 ELIMINATI CON VARIAZIONE DI ESIGIBILITà)</t>
  </si>
  <si>
    <t>601,50 ELIMINATI CON VARIAZIONE DI ESIGIBILITà</t>
  </si>
  <si>
    <t xml:space="preserve">4922 DEL 30/06/2022 </t>
  </si>
  <si>
    <t>IMPEGNO INIZIALE DI € 476000 CON VARIAZIONE IN DIMINUZIONE DI 18908,24</t>
  </si>
  <si>
    <t>19267,02 3874 DEL 23/05/2022; 5732,98 4640 DEL 22/06/2022; 45000 9460 DEL 12/12/2022</t>
  </si>
  <si>
    <t>960 4924 DEL 30/062022</t>
  </si>
  <si>
    <t xml:space="preserve">DET 9185 DEL 06/12/2022 € 235000; DET 7339 DEL 05/10/2022 € 100000;DET 3267 DEL 29/04/2022 219045,92; DET 885 DEL 30/01/2022 200000; </t>
  </si>
  <si>
    <t xml:space="preserve">755 DEL 26/01/2022 </t>
  </si>
  <si>
    <t>189842,90 1234 DEL 06/11/2020</t>
  </si>
  <si>
    <t>1255 DEL 12/11/2020 86400; 5641 DEL 28/07/2022 478,00; 5845 DEL 24/08/2022 4270; 8169 DEL 07/11/2022 5000; 8169 DEL 07/11/2022 800,00; 8633 DEL 22/11/2022 3000;</t>
  </si>
  <si>
    <t>50000 D 1066 DEL 03/02/2022; 50000 D 3873 DEL23/05/2022;</t>
  </si>
  <si>
    <t>100000 D 8332 DEL 10/11/2022</t>
  </si>
  <si>
    <t>5778 DEL 30/08/2021 100000</t>
  </si>
  <si>
    <t>RISORSE COMUNALI 2022 BORSE LAVORO</t>
  </si>
  <si>
    <t>2906 DEL 11/04/2022  30000; 50000 5184 DEL 11/07/2022</t>
  </si>
  <si>
    <t>1100000 D  343 DEL 14/01/2022</t>
  </si>
  <si>
    <t>1000000,00 D  343 DEL 14/01/2022; 3633 DEL 12/05/2022 2000000,00; 7760 DEL 19/10/2022   € 350,000,00; 9546 DEL 14/12/2022</t>
  </si>
  <si>
    <t>VARIAZIONE IN AUMENTO DI € 91500</t>
  </si>
  <si>
    <t xml:space="preserve">80954,08 VARIAZIONE DI ESIGIBILITA' IN DIMINUZIONE </t>
  </si>
  <si>
    <t>15297,23 VARIAZIONE IN DIMINUZIONE</t>
  </si>
  <si>
    <t>30,00 D 5251 DEL 12/07/2022 ANAC; 84360,56 GARA D 7236 DEL 31/10/2022; 8600 DEL 21/11/2022 1684,80; 3225 DEL 29/04/2022 30,00</t>
  </si>
  <si>
    <t xml:space="preserve">RIPROGRAMMAZIONE PDZ </t>
  </si>
  <si>
    <t>FGSA 2022 PEPPINO MESTO</t>
  </si>
  <si>
    <t xml:space="preserve">D 3242 DEL 29/04/2022 ANAC </t>
  </si>
  <si>
    <t>FGSA 2022 ADI ANZIANI</t>
  </si>
  <si>
    <t>D 8332 DEL 10/11/2022</t>
  </si>
  <si>
    <t>D 6848 DEL 19/09/2022</t>
  </si>
  <si>
    <t>375 PRESI DA B3(16) INT. SCOL</t>
  </si>
  <si>
    <t>122227,36 PRESI DA C1 (39) DISAGIO PSICHICO; 50000 PRESI DA B8 (33) BARRIERE; 37572,64 PRESI DA B3(16) INTEGR. SCOL.</t>
  </si>
  <si>
    <t>S.A.D.-aggiudicazione MEDIHOSPES (3118 DEL 22/04/22)</t>
  </si>
  <si>
    <t>FNA 2021 (2022) SAD DISABILI</t>
  </si>
  <si>
    <t>FNA 2021 (2022) ADI ANZIANI</t>
  </si>
  <si>
    <t>22500 DD. 5248 del 12/07/2022 PROROGA SAD ANZIANI; 58769,26 D 7658 DEL 17/10/2022 SAD ANZIANI; 389268,25 D 8170 DEL 07/11/2022 SAD ANZ</t>
  </si>
  <si>
    <t>FNA 2021 (2022) SAD ANZIANI</t>
  </si>
  <si>
    <t>D 7581 DEL 13/10/2022</t>
  </si>
  <si>
    <t>D 4000 DEL 26/05/2022</t>
  </si>
  <si>
    <t>120541,40 DD. 7039 del 26/09/2022; 375 D 3899 DEL 24/05/2022; 13100 D 3899 DEL24/05/2022</t>
  </si>
  <si>
    <t>272527,50 DD. 7258 del 3/10/2022; 6025 3666 DEL 13/05/2022</t>
  </si>
  <si>
    <t xml:space="preserve">7744 DEL 18/10/2022 11.771,32; </t>
  </si>
  <si>
    <t>TOLTI DA FNPS 2021 IND IN C,2, (43)  ADI</t>
  </si>
  <si>
    <t xml:space="preserve">FNPS 2021 IND. </t>
  </si>
  <si>
    <t>FONDI ILVA LONG-TERM CARE (2022)</t>
  </si>
  <si>
    <t>D8959 DEL 01/12/2022</t>
  </si>
  <si>
    <t>626568,08 D 9776 DEL 22/12/2022; 750 D 9364 DEL 09/11/2022;</t>
  </si>
  <si>
    <t>D 451 DEL 18/01/2022</t>
  </si>
  <si>
    <t xml:space="preserve">D 451 DEL 18/01/2022; </t>
  </si>
  <si>
    <t>PIANO REGIONALE POLITICHE FAMILIARI D.G.R. 220/2020 (2022) PER NEOMAGGIORENNI</t>
  </si>
  <si>
    <t>3330,00 D 1674 DEL 23/03/2022; 1450 9547 DEL 14/12/2022</t>
  </si>
  <si>
    <t>PROVI 2022</t>
  </si>
  <si>
    <t>VARIAZIONE DI ESIGIBILITà DI 51.132,90</t>
  </si>
  <si>
    <t xml:space="preserve">  236488,908115 DEL 03/11/2022</t>
  </si>
  <si>
    <t>5460 D 3813 DEL 19/05/2022</t>
  </si>
  <si>
    <t>132998,4+2500+6600 2764 DEL 06/04/2022</t>
  </si>
  <si>
    <t>RISORSE COMUNALI 2022 G</t>
  </si>
  <si>
    <t>17815,14 DD 373 DEL 17/01/2022; 58200 DD 3041 DEL 20/04/2022; 30 DD 4707 DEL 23/06/2022; 30 8529 DEL 17/11/2022</t>
  </si>
  <si>
    <t>D 7109 DEL 28/09/2022</t>
  </si>
  <si>
    <t>597372,67 d 4240 del 23/06/2021</t>
  </si>
  <si>
    <t>D 9351 DEL 09/12/2022</t>
  </si>
  <si>
    <t>-</t>
  </si>
  <si>
    <t>D 9816 DEL 23/12/2022</t>
  </si>
  <si>
    <t>D 1366 DEL 15/09/2022 IMPEGNO TECNICO E D 9040 del 02/12/2022 IMPEGNO DA GRADUATORIA</t>
  </si>
  <si>
    <t>D 453 DL 18/01/2022</t>
  </si>
  <si>
    <t>D 8722 DEL 26/11/2022</t>
  </si>
  <si>
    <t>D 8506 DEL 16/11/2022</t>
  </si>
  <si>
    <t>2315 DEL 18/03/2022</t>
  </si>
  <si>
    <t>90000 D 4651 DEL 22/06/2022; 180000 D 7028 DEL  26/09/2022; 120000 D 6214 DEL 24/08/2022; 55969 D 6276 DEL 16/09/2021 da stornare e 223876 D 7108 DEL 28/09/2022 da stornare ( 279.845,00 assegnazione 1071/2020: 176.863,25 riassegnati al 2023 con a.d. 1010/2023 e 102.981,75 persi;  15000 D 3975 DEL 26/05/222; 80000 D 4638 DEL 26/06/2022; 60000 D 6213 DEL 24/08/2022;</t>
  </si>
  <si>
    <t>D 8961 DEL 01/12/2022 DI 100.916,00; D 9545 DEL 14/12/2022 DI 83766,80</t>
  </si>
  <si>
    <t xml:space="preserve">€ 1452 VARIAZIONE IN DIMINUZIONE </t>
  </si>
  <si>
    <t>€ 800 DA PRENDERE DA C1 (39) DISAGI PSICHICI</t>
  </si>
  <si>
    <t xml:space="preserve">AMBITO DI TARANTO </t>
  </si>
  <si>
    <t>PIANO DI ZONA 2022-2024 - RENDICONTAZIONE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</si>
</sst>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8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4" fontId="0" fillId="0" borderId="16" xfId="0" applyNumberFormat="1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0" xfId="0" applyNumberFormat="1"/>
    <xf numFmtId="44" fontId="0" fillId="0" borderId="4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44" fontId="0" fillId="0" borderId="2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4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0" fillId="0" borderId="28" xfId="0" applyBorder="1"/>
    <xf numFmtId="164" fontId="0" fillId="0" borderId="28" xfId="0" applyNumberFormat="1" applyBorder="1"/>
    <xf numFmtId="0" fontId="0" fillId="0" borderId="27" xfId="0" applyBorder="1"/>
    <xf numFmtId="8" fontId="0" fillId="0" borderId="28" xfId="0" applyNumberFormat="1" applyBorder="1"/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/>
    <xf numFmtId="44" fontId="0" fillId="0" borderId="2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44" fontId="0" fillId="0" borderId="24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" xfId="0" applyBorder="1"/>
    <xf numFmtId="4" fontId="0" fillId="0" borderId="0" xfId="0" applyNumberFormat="1"/>
    <xf numFmtId="44" fontId="0" fillId="0" borderId="2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/>
    </xf>
    <xf numFmtId="0" fontId="0" fillId="0" borderId="4" xfId="0" applyBorder="1"/>
    <xf numFmtId="44" fontId="0" fillId="0" borderId="4" xfId="0" applyNumberFormat="1" applyBorder="1"/>
    <xf numFmtId="0" fontId="0" fillId="0" borderId="29" xfId="0" applyBorder="1" applyAlignment="1">
      <alignment horizontal="center" vertical="center" wrapText="1"/>
    </xf>
    <xf numFmtId="164" fontId="0" fillId="0" borderId="0" xfId="0" applyNumberFormat="1"/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9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0" fillId="0" borderId="24" xfId="0" applyNumberForma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  <xf numFmtId="0" fontId="0" fillId="0" borderId="12" xfId="0" applyBorder="1"/>
    <xf numFmtId="44" fontId="0" fillId="0" borderId="26" xfId="0" applyNumberFormat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44" fontId="0" fillId="0" borderId="2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44" fontId="0" fillId="2" borderId="28" xfId="0" applyNumberFormat="1" applyFill="1" applyBorder="1" applyAlignment="1">
      <alignment horizontal="center" vertical="center" wrapText="1"/>
    </xf>
    <xf numFmtId="44" fontId="0" fillId="2" borderId="29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6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vertical="center" wrapText="1"/>
    </xf>
    <xf numFmtId="0" fontId="0" fillId="0" borderId="3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/>
    <xf numFmtId="4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44" fontId="0" fillId="0" borderId="2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0" fillId="0" borderId="4" xfId="0" applyNumberFormat="1" applyFill="1" applyBorder="1" applyAlignment="1">
      <alignment horizontal="center" vertical="center"/>
    </xf>
    <xf numFmtId="44" fontId="0" fillId="0" borderId="30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4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4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44" fontId="0" fillId="0" borderId="17" xfId="0" applyNumberFormat="1" applyFill="1" applyBorder="1" applyAlignment="1">
      <alignment horizontal="center" vertical="center"/>
    </xf>
    <xf numFmtId="44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4" fontId="0" fillId="0" borderId="24" xfId="0" applyNumberFormat="1" applyFill="1" applyBorder="1" applyAlignment="1">
      <alignment horizontal="center" vertical="center"/>
    </xf>
    <xf numFmtId="44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44" fontId="0" fillId="0" borderId="30" xfId="0" applyNumberFormat="1" applyFill="1" applyBorder="1" applyAlignment="1">
      <alignment horizontal="center" vertical="center"/>
    </xf>
    <xf numFmtId="44" fontId="0" fillId="0" borderId="24" xfId="0" applyNumberFormat="1" applyFill="1" applyBorder="1" applyAlignment="1">
      <alignment horizontal="center" vertical="center"/>
    </xf>
    <xf numFmtId="44" fontId="0" fillId="0" borderId="28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44" fontId="0" fillId="0" borderId="29" xfId="0" applyNumberFormat="1" applyFill="1" applyBorder="1" applyAlignment="1">
      <alignment horizontal="center" vertical="center"/>
    </xf>
    <xf numFmtId="44" fontId="0" fillId="0" borderId="28" xfId="0" applyNumberFormat="1" applyFill="1" applyBorder="1"/>
    <xf numFmtId="8" fontId="0" fillId="0" borderId="28" xfId="0" applyNumberFormat="1" applyFill="1" applyBorder="1"/>
    <xf numFmtId="44" fontId="0" fillId="0" borderId="1" xfId="0" applyNumberFormat="1" applyFill="1" applyBorder="1"/>
    <xf numFmtId="44" fontId="0" fillId="0" borderId="0" xfId="0" applyNumberFormat="1" applyFill="1"/>
    <xf numFmtId="164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44" fontId="0" fillId="0" borderId="5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4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44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44" fontId="0" fillId="0" borderId="7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44" fontId="0" fillId="0" borderId="4" xfId="0" applyNumberFormat="1" applyFill="1" applyBorder="1"/>
    <xf numFmtId="0" fontId="0" fillId="0" borderId="4" xfId="0" applyFill="1" applyBorder="1"/>
    <xf numFmtId="44" fontId="0" fillId="0" borderId="4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44" fontId="0" fillId="0" borderId="7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4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44" fontId="0" fillId="0" borderId="1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4" fontId="0" fillId="0" borderId="6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164" fontId="0" fillId="0" borderId="28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44" fontId="0" fillId="0" borderId="10" xfId="0" applyNumberFormat="1" applyBorder="1"/>
    <xf numFmtId="44" fontId="0" fillId="2" borderId="31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A4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259"/>
  <sheetViews>
    <sheetView tabSelected="1" zoomScale="78" zoomScaleNormal="78" workbookViewId="0">
      <selection activeCell="C18" sqref="C18:C26"/>
    </sheetView>
  </sheetViews>
  <sheetFormatPr defaultRowHeight="15" x14ac:dyDescent="0.25"/>
  <cols>
    <col min="3" max="3" width="68.7109375" customWidth="1"/>
    <col min="4" max="6" width="17.28515625" customWidth="1"/>
    <col min="7" max="7" width="49.7109375" customWidth="1"/>
    <col min="8" max="9" width="22.28515625" style="16" customWidth="1"/>
    <col min="10" max="10" width="30.28515625" customWidth="1"/>
    <col min="11" max="11" width="28.5703125" customWidth="1"/>
    <col min="12" max="12" width="26.85546875" customWidth="1"/>
    <col min="13" max="13" width="27.28515625" style="16" customWidth="1"/>
    <col min="14" max="14" width="26.5703125" style="16" customWidth="1"/>
    <col min="15" max="15" width="25.7109375" style="16" customWidth="1"/>
    <col min="16" max="16" width="24.28515625" style="103" customWidth="1"/>
  </cols>
  <sheetData>
    <row r="1" spans="2:16" x14ac:dyDescent="0.25">
      <c r="P1" s="193"/>
    </row>
    <row r="2" spans="2:16" ht="46.5" x14ac:dyDescent="0.7">
      <c r="B2" s="197" t="s">
        <v>359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3"/>
    </row>
    <row r="3" spans="2:16" ht="46.5" x14ac:dyDescent="0.7">
      <c r="B3" s="197" t="s">
        <v>358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3"/>
    </row>
    <row r="4" spans="2:16" x14ac:dyDescent="0.25">
      <c r="P4" s="193"/>
    </row>
    <row r="5" spans="2:16" ht="15.75" thickBot="1" x14ac:dyDescent="0.3">
      <c r="L5" s="1"/>
      <c r="P5" s="193"/>
    </row>
    <row r="6" spans="2:16" ht="72.599999999999994" customHeight="1" thickBot="1" x14ac:dyDescent="0.3">
      <c r="B6" s="98" t="s">
        <v>0</v>
      </c>
      <c r="C6" s="99" t="s">
        <v>1</v>
      </c>
      <c r="D6" s="100" t="s">
        <v>2</v>
      </c>
      <c r="E6" s="100" t="s">
        <v>82</v>
      </c>
      <c r="F6" s="100" t="s">
        <v>119</v>
      </c>
      <c r="G6" s="99" t="s">
        <v>3</v>
      </c>
      <c r="H6" s="101" t="s">
        <v>4</v>
      </c>
      <c r="I6" s="101" t="s">
        <v>310</v>
      </c>
      <c r="J6" s="99" t="s">
        <v>5</v>
      </c>
      <c r="K6" s="100" t="s">
        <v>6</v>
      </c>
      <c r="L6" s="100" t="s">
        <v>7</v>
      </c>
      <c r="M6" s="102" t="s">
        <v>83</v>
      </c>
      <c r="N6" s="101" t="s">
        <v>285</v>
      </c>
      <c r="O6" s="196" t="s">
        <v>286</v>
      </c>
      <c r="P6" s="193"/>
    </row>
    <row r="7" spans="2:16" ht="84" customHeight="1" x14ac:dyDescent="0.25">
      <c r="B7" s="68" t="s">
        <v>8</v>
      </c>
      <c r="C7" s="70" t="s">
        <v>9</v>
      </c>
      <c r="D7" s="72">
        <f>SUM(H7:H16)</f>
        <v>1903527.9100000001</v>
      </c>
      <c r="E7" s="148">
        <f>SUM(M7:M16)</f>
        <v>1803527.9100000001</v>
      </c>
      <c r="F7" s="125">
        <v>1</v>
      </c>
      <c r="G7" s="126" t="s">
        <v>137</v>
      </c>
      <c r="H7" s="124">
        <v>50000</v>
      </c>
      <c r="I7" s="124">
        <v>50000</v>
      </c>
      <c r="J7" s="125" t="s">
        <v>96</v>
      </c>
      <c r="K7" s="149"/>
      <c r="L7" s="21"/>
      <c r="M7" s="21">
        <f>I7-L7</f>
        <v>50000</v>
      </c>
      <c r="N7" s="195"/>
      <c r="O7" s="19">
        <f>L7-N7</f>
        <v>0</v>
      </c>
      <c r="P7" s="193"/>
    </row>
    <row r="8" spans="2:16" ht="15" customHeight="1" x14ac:dyDescent="0.25">
      <c r="B8" s="74"/>
      <c r="C8" s="76"/>
      <c r="D8" s="78"/>
      <c r="E8" s="150"/>
      <c r="F8" s="116">
        <v>1</v>
      </c>
      <c r="G8" s="113" t="s">
        <v>139</v>
      </c>
      <c r="H8" s="112">
        <v>300000</v>
      </c>
      <c r="I8" s="112">
        <v>300000</v>
      </c>
      <c r="J8" s="116" t="s">
        <v>96</v>
      </c>
      <c r="K8" s="151"/>
      <c r="L8" s="18"/>
      <c r="M8" s="18">
        <f t="shared" ref="M8:M54" si="0">I8-L8</f>
        <v>300000</v>
      </c>
      <c r="N8" s="18"/>
      <c r="O8" s="20">
        <f t="shared" ref="O8:O71" si="1">L8-N8</f>
        <v>0</v>
      </c>
      <c r="P8" s="194"/>
    </row>
    <row r="9" spans="2:16" ht="15" customHeight="1" x14ac:dyDescent="0.25">
      <c r="B9" s="74"/>
      <c r="C9" s="76"/>
      <c r="D9" s="78"/>
      <c r="E9" s="150"/>
      <c r="F9" s="116">
        <v>2</v>
      </c>
      <c r="G9" s="113" t="s">
        <v>139</v>
      </c>
      <c r="H9" s="112">
        <v>350000</v>
      </c>
      <c r="I9" s="112">
        <v>350000</v>
      </c>
      <c r="J9" s="116" t="s">
        <v>96</v>
      </c>
      <c r="K9" s="151"/>
      <c r="L9" s="18"/>
      <c r="M9" s="18">
        <f t="shared" si="0"/>
        <v>350000</v>
      </c>
      <c r="N9" s="18"/>
      <c r="O9" s="20">
        <f t="shared" si="1"/>
        <v>0</v>
      </c>
      <c r="P9" s="194"/>
    </row>
    <row r="10" spans="2:16" ht="74.25" customHeight="1" x14ac:dyDescent="0.25">
      <c r="B10" s="74"/>
      <c r="C10" s="76"/>
      <c r="D10" s="78"/>
      <c r="E10" s="150"/>
      <c r="F10" s="116">
        <v>2</v>
      </c>
      <c r="G10" s="113" t="s">
        <v>141</v>
      </c>
      <c r="H10" s="112">
        <v>100000</v>
      </c>
      <c r="I10" s="112">
        <v>100000</v>
      </c>
      <c r="J10" s="113" t="s">
        <v>97</v>
      </c>
      <c r="K10" s="113" t="s">
        <v>283</v>
      </c>
      <c r="L10" s="18">
        <v>100000</v>
      </c>
      <c r="M10" s="18">
        <f t="shared" si="0"/>
        <v>0</v>
      </c>
      <c r="N10" s="18">
        <v>100000</v>
      </c>
      <c r="O10" s="20">
        <f t="shared" si="1"/>
        <v>0</v>
      </c>
      <c r="P10" s="194"/>
    </row>
    <row r="11" spans="2:16" x14ac:dyDescent="0.25">
      <c r="B11" s="74"/>
      <c r="C11" s="76"/>
      <c r="D11" s="78"/>
      <c r="E11" s="150"/>
      <c r="F11" s="116">
        <v>2</v>
      </c>
      <c r="G11" s="113" t="s">
        <v>140</v>
      </c>
      <c r="H11" s="112">
        <v>100000</v>
      </c>
      <c r="I11" s="112">
        <v>100000</v>
      </c>
      <c r="J11" s="113" t="s">
        <v>98</v>
      </c>
      <c r="K11" s="151"/>
      <c r="L11" s="18"/>
      <c r="M11" s="18">
        <f t="shared" si="0"/>
        <v>100000</v>
      </c>
      <c r="N11" s="18"/>
      <c r="O11" s="20">
        <f t="shared" si="1"/>
        <v>0</v>
      </c>
      <c r="P11" s="194"/>
    </row>
    <row r="12" spans="2:16" ht="33.75" customHeight="1" x14ac:dyDescent="0.25">
      <c r="B12" s="74"/>
      <c r="C12" s="76"/>
      <c r="D12" s="78"/>
      <c r="E12" s="150"/>
      <c r="F12" s="116">
        <v>2</v>
      </c>
      <c r="G12" s="113" t="s">
        <v>138</v>
      </c>
      <c r="H12" s="112">
        <v>50000</v>
      </c>
      <c r="I12" s="112">
        <v>50000</v>
      </c>
      <c r="J12" s="113" t="s">
        <v>99</v>
      </c>
      <c r="K12" s="151"/>
      <c r="L12" s="18"/>
      <c r="M12" s="18">
        <f t="shared" si="0"/>
        <v>50000</v>
      </c>
      <c r="N12" s="18"/>
      <c r="O12" s="20">
        <f t="shared" si="1"/>
        <v>0</v>
      </c>
      <c r="P12" s="194"/>
    </row>
    <row r="13" spans="2:16" x14ac:dyDescent="0.25">
      <c r="B13" s="74"/>
      <c r="C13" s="76"/>
      <c r="D13" s="78"/>
      <c r="E13" s="150"/>
      <c r="F13" s="116">
        <v>1</v>
      </c>
      <c r="G13" s="113" t="s">
        <v>138</v>
      </c>
      <c r="H13" s="112">
        <v>150000</v>
      </c>
      <c r="I13" s="112">
        <v>150000</v>
      </c>
      <c r="J13" s="113" t="s">
        <v>99</v>
      </c>
      <c r="K13" s="113"/>
      <c r="L13" s="18"/>
      <c r="M13" s="18">
        <f t="shared" si="0"/>
        <v>150000</v>
      </c>
      <c r="N13" s="18"/>
      <c r="O13" s="20">
        <f t="shared" si="1"/>
        <v>0</v>
      </c>
      <c r="P13" s="194"/>
    </row>
    <row r="14" spans="2:16" x14ac:dyDescent="0.25">
      <c r="B14" s="74"/>
      <c r="C14" s="76"/>
      <c r="D14" s="78"/>
      <c r="E14" s="150"/>
      <c r="F14" s="116">
        <v>1</v>
      </c>
      <c r="G14" s="113" t="s">
        <v>135</v>
      </c>
      <c r="H14" s="112">
        <v>2510.33</v>
      </c>
      <c r="I14" s="112">
        <v>2510.33</v>
      </c>
      <c r="J14" s="113" t="s">
        <v>120</v>
      </c>
      <c r="K14" s="113"/>
      <c r="L14" s="18"/>
      <c r="M14" s="18">
        <f t="shared" si="0"/>
        <v>2510.33</v>
      </c>
      <c r="N14" s="18"/>
      <c r="O14" s="20">
        <f t="shared" si="1"/>
        <v>0</v>
      </c>
      <c r="P14" s="194"/>
    </row>
    <row r="15" spans="2:16" x14ac:dyDescent="0.25">
      <c r="B15" s="74"/>
      <c r="C15" s="76"/>
      <c r="D15" s="78"/>
      <c r="E15" s="150"/>
      <c r="F15" s="116">
        <v>1</v>
      </c>
      <c r="G15" s="113" t="s">
        <v>136</v>
      </c>
      <c r="H15" s="112">
        <v>69917.899999999994</v>
      </c>
      <c r="I15" s="112">
        <v>69917.899999999994</v>
      </c>
      <c r="J15" s="113" t="s">
        <v>121</v>
      </c>
      <c r="K15" s="113"/>
      <c r="L15" s="18"/>
      <c r="M15" s="18">
        <f t="shared" si="0"/>
        <v>69917.899999999994</v>
      </c>
      <c r="N15" s="18"/>
      <c r="O15" s="20">
        <f t="shared" si="1"/>
        <v>0</v>
      </c>
      <c r="P15" s="194"/>
    </row>
    <row r="16" spans="2:16" x14ac:dyDescent="0.25">
      <c r="B16" s="74"/>
      <c r="C16" s="76"/>
      <c r="D16" s="78"/>
      <c r="E16" s="150"/>
      <c r="F16" s="116">
        <v>1</v>
      </c>
      <c r="G16" s="113" t="s">
        <v>134</v>
      </c>
      <c r="H16" s="112">
        <f>365549.84*2</f>
        <v>731099.68</v>
      </c>
      <c r="I16" s="112">
        <f>365549.84*2</f>
        <v>731099.68</v>
      </c>
      <c r="J16" s="113" t="s">
        <v>122</v>
      </c>
      <c r="K16" s="113"/>
      <c r="L16" s="18"/>
      <c r="M16" s="18">
        <f t="shared" si="0"/>
        <v>731099.68</v>
      </c>
      <c r="N16" s="18"/>
      <c r="O16" s="20">
        <f t="shared" si="1"/>
        <v>0</v>
      </c>
      <c r="P16" s="194"/>
    </row>
    <row r="17" spans="2:16" ht="15.75" thickBot="1" x14ac:dyDescent="0.3">
      <c r="B17" s="75"/>
      <c r="C17" s="77"/>
      <c r="D17" s="79"/>
      <c r="E17" s="152"/>
      <c r="F17" s="128"/>
      <c r="G17" s="129"/>
      <c r="H17" s="127"/>
      <c r="I17" s="127"/>
      <c r="J17" s="128"/>
      <c r="K17" s="129"/>
      <c r="L17" s="13"/>
      <c r="M17" s="13">
        <f t="shared" si="0"/>
        <v>0</v>
      </c>
      <c r="N17" s="13"/>
      <c r="O17" s="14">
        <f t="shared" si="1"/>
        <v>0</v>
      </c>
      <c r="P17" s="194"/>
    </row>
    <row r="18" spans="2:16" ht="31.5" customHeight="1" x14ac:dyDescent="0.25">
      <c r="B18" s="61" t="s">
        <v>10</v>
      </c>
      <c r="C18" s="55" t="s">
        <v>11</v>
      </c>
      <c r="D18" s="65">
        <f>SUM(H18:H26)</f>
        <v>5840667.6699999999</v>
      </c>
      <c r="E18" s="153">
        <f>SUM(M18:M26)</f>
        <v>4428610.83</v>
      </c>
      <c r="F18" s="125">
        <v>3</v>
      </c>
      <c r="G18" s="126" t="s">
        <v>142</v>
      </c>
      <c r="H18" s="124">
        <v>2234648.4500000002</v>
      </c>
      <c r="I18" s="124">
        <v>2234648.4500000002</v>
      </c>
      <c r="J18" s="126" t="s">
        <v>96</v>
      </c>
      <c r="K18" s="126"/>
      <c r="L18" s="48"/>
      <c r="M18" s="21">
        <f t="shared" si="0"/>
        <v>2234648.4500000002</v>
      </c>
      <c r="N18" s="21"/>
      <c r="O18" s="19">
        <f t="shared" si="1"/>
        <v>0</v>
      </c>
      <c r="P18" s="194"/>
    </row>
    <row r="19" spans="2:16" ht="40.9" customHeight="1" x14ac:dyDescent="0.25">
      <c r="B19" s="62"/>
      <c r="C19" s="56"/>
      <c r="D19" s="66"/>
      <c r="E19" s="154"/>
      <c r="F19" s="116">
        <v>4</v>
      </c>
      <c r="G19" s="113" t="s">
        <v>145</v>
      </c>
      <c r="H19" s="112">
        <v>40438.730000000003</v>
      </c>
      <c r="I19" s="112">
        <v>40438.730000000003</v>
      </c>
      <c r="J19" s="113" t="s">
        <v>89</v>
      </c>
      <c r="K19" s="113"/>
      <c r="L19" s="37"/>
      <c r="M19" s="18">
        <f t="shared" si="0"/>
        <v>40438.730000000003</v>
      </c>
      <c r="N19" s="18"/>
      <c r="O19" s="20">
        <f t="shared" si="1"/>
        <v>0</v>
      </c>
      <c r="P19" s="194"/>
    </row>
    <row r="20" spans="2:16" ht="45" customHeight="1" x14ac:dyDescent="0.25">
      <c r="B20" s="62"/>
      <c r="C20" s="56"/>
      <c r="D20" s="66"/>
      <c r="E20" s="154"/>
      <c r="F20" s="116">
        <v>4</v>
      </c>
      <c r="G20" s="113" t="s">
        <v>146</v>
      </c>
      <c r="H20" s="112">
        <v>40438.730000000003</v>
      </c>
      <c r="I20" s="112">
        <v>40438.730000000003</v>
      </c>
      <c r="J20" s="113" t="s">
        <v>90</v>
      </c>
      <c r="K20" s="113"/>
      <c r="L20" s="37"/>
      <c r="M20" s="18">
        <f t="shared" si="0"/>
        <v>40438.730000000003</v>
      </c>
      <c r="N20" s="18"/>
      <c r="O20" s="20">
        <f t="shared" si="1"/>
        <v>0</v>
      </c>
      <c r="P20" s="194"/>
    </row>
    <row r="21" spans="2:16" ht="39" customHeight="1" x14ac:dyDescent="0.25">
      <c r="B21" s="62"/>
      <c r="C21" s="56"/>
      <c r="D21" s="66"/>
      <c r="E21" s="154"/>
      <c r="F21" s="116">
        <v>3</v>
      </c>
      <c r="G21" s="155" t="s">
        <v>143</v>
      </c>
      <c r="H21" s="112">
        <v>20000</v>
      </c>
      <c r="I21" s="112">
        <v>20000</v>
      </c>
      <c r="J21" s="155" t="s">
        <v>129</v>
      </c>
      <c r="K21" s="113"/>
      <c r="L21" s="37"/>
      <c r="M21" s="18">
        <f t="shared" si="0"/>
        <v>20000</v>
      </c>
      <c r="N21" s="18"/>
      <c r="O21" s="20">
        <f t="shared" si="1"/>
        <v>0</v>
      </c>
      <c r="P21" s="194"/>
    </row>
    <row r="22" spans="2:16" ht="80.45" customHeight="1" x14ac:dyDescent="0.25">
      <c r="B22" s="62"/>
      <c r="C22" s="56"/>
      <c r="D22" s="66"/>
      <c r="E22" s="154"/>
      <c r="F22" s="116">
        <v>3</v>
      </c>
      <c r="G22" s="155" t="s">
        <v>144</v>
      </c>
      <c r="H22" s="112">
        <v>578601</v>
      </c>
      <c r="I22" s="112">
        <f>H22+164162</f>
        <v>742763</v>
      </c>
      <c r="J22" s="155" t="s">
        <v>129</v>
      </c>
      <c r="K22" s="113" t="s">
        <v>345</v>
      </c>
      <c r="L22" s="49">
        <v>597372.67000000004</v>
      </c>
      <c r="M22" s="18">
        <f>I22-L22</f>
        <v>145390.32999999996</v>
      </c>
      <c r="N22" s="18">
        <v>312889.49</v>
      </c>
      <c r="O22" s="20">
        <f t="shared" si="1"/>
        <v>284483.18000000005</v>
      </c>
      <c r="P22" s="194"/>
    </row>
    <row r="23" spans="2:16" ht="88.9" customHeight="1" x14ac:dyDescent="0.25">
      <c r="B23" s="62"/>
      <c r="C23" s="56"/>
      <c r="D23" s="66"/>
      <c r="E23" s="154"/>
      <c r="F23" s="116">
        <v>4</v>
      </c>
      <c r="G23" s="116" t="s">
        <v>147</v>
      </c>
      <c r="H23" s="112">
        <v>40438.730000000003</v>
      </c>
      <c r="I23" s="112">
        <v>40438.730000000003</v>
      </c>
      <c r="J23" s="116" t="s">
        <v>91</v>
      </c>
      <c r="K23" s="113"/>
      <c r="L23" s="37"/>
      <c r="M23" s="18">
        <f t="shared" si="0"/>
        <v>40438.730000000003</v>
      </c>
      <c r="N23" s="18"/>
      <c r="O23" s="20">
        <f t="shared" si="1"/>
        <v>0</v>
      </c>
      <c r="P23" s="194"/>
    </row>
    <row r="24" spans="2:16" ht="60" customHeight="1" x14ac:dyDescent="0.25">
      <c r="B24" s="74"/>
      <c r="C24" s="76"/>
      <c r="D24" s="78"/>
      <c r="E24" s="150"/>
      <c r="F24" s="116">
        <v>3</v>
      </c>
      <c r="G24" s="113" t="s">
        <v>141</v>
      </c>
      <c r="H24" s="112">
        <v>978846.17</v>
      </c>
      <c r="I24" s="112">
        <v>1007160.54</v>
      </c>
      <c r="J24" s="113" t="s">
        <v>342</v>
      </c>
      <c r="K24" s="113"/>
      <c r="L24" s="37">
        <v>1007160.54</v>
      </c>
      <c r="M24" s="18">
        <f t="shared" si="0"/>
        <v>0</v>
      </c>
      <c r="N24" s="18">
        <v>1007160.54</v>
      </c>
      <c r="O24" s="20">
        <f t="shared" si="1"/>
        <v>0</v>
      </c>
      <c r="P24" s="194"/>
    </row>
    <row r="25" spans="2:16" ht="48.6" customHeight="1" x14ac:dyDescent="0.25">
      <c r="B25" s="74"/>
      <c r="C25" s="76"/>
      <c r="D25" s="78"/>
      <c r="E25" s="150"/>
      <c r="F25" s="116">
        <v>3</v>
      </c>
      <c r="G25" s="113" t="s">
        <v>140</v>
      </c>
      <c r="H25" s="112">
        <v>953627.93</v>
      </c>
      <c r="I25" s="112">
        <v>953627.93</v>
      </c>
      <c r="J25" s="113" t="s">
        <v>98</v>
      </c>
      <c r="K25" s="113"/>
      <c r="L25" s="37"/>
      <c r="M25" s="18">
        <f t="shared" si="0"/>
        <v>953627.93</v>
      </c>
      <c r="N25" s="18"/>
      <c r="O25" s="20">
        <f t="shared" si="1"/>
        <v>0</v>
      </c>
      <c r="P25" s="194"/>
    </row>
    <row r="26" spans="2:16" ht="42.6" customHeight="1" thickBot="1" x14ac:dyDescent="0.3">
      <c r="B26" s="75"/>
      <c r="C26" s="77"/>
      <c r="D26" s="79"/>
      <c r="E26" s="152"/>
      <c r="F26" s="128">
        <v>3</v>
      </c>
      <c r="G26" s="129" t="s">
        <v>138</v>
      </c>
      <c r="H26" s="127">
        <v>953627.93</v>
      </c>
      <c r="I26" s="127">
        <v>953627.93</v>
      </c>
      <c r="J26" s="129" t="s">
        <v>99</v>
      </c>
      <c r="K26" s="129"/>
      <c r="L26" s="38"/>
      <c r="M26" s="13">
        <f t="shared" si="0"/>
        <v>953627.93</v>
      </c>
      <c r="N26" s="13"/>
      <c r="O26" s="14">
        <f t="shared" si="1"/>
        <v>0</v>
      </c>
      <c r="P26" s="194"/>
    </row>
    <row r="27" spans="2:16" ht="55.9" customHeight="1" x14ac:dyDescent="0.25">
      <c r="B27" s="61" t="s">
        <v>12</v>
      </c>
      <c r="C27" s="55" t="s">
        <v>13</v>
      </c>
      <c r="D27" s="65">
        <f>SUM(H27:H36)</f>
        <v>267400</v>
      </c>
      <c r="E27" s="153">
        <f>SUM(M27:M36)</f>
        <v>222400</v>
      </c>
      <c r="F27" s="125">
        <v>7</v>
      </c>
      <c r="G27" s="126" t="s">
        <v>141</v>
      </c>
      <c r="H27" s="124">
        <v>45000</v>
      </c>
      <c r="I27" s="124">
        <v>29702.77</v>
      </c>
      <c r="J27" s="126" t="s">
        <v>97</v>
      </c>
      <c r="K27" s="126" t="s">
        <v>282</v>
      </c>
      <c r="L27" s="48">
        <v>29702.77</v>
      </c>
      <c r="M27" s="21">
        <f>I27-L27</f>
        <v>0</v>
      </c>
      <c r="N27" s="21">
        <v>24876.69</v>
      </c>
      <c r="O27" s="19">
        <f t="shared" si="1"/>
        <v>4826.0800000000017</v>
      </c>
      <c r="P27" s="106" t="s">
        <v>308</v>
      </c>
    </row>
    <row r="28" spans="2:16" ht="28.9" customHeight="1" thickBot="1" x14ac:dyDescent="0.3">
      <c r="B28" s="62"/>
      <c r="C28" s="56"/>
      <c r="D28" s="66"/>
      <c r="E28" s="154"/>
      <c r="F28" s="116">
        <v>6</v>
      </c>
      <c r="G28" s="113" t="s">
        <v>148</v>
      </c>
      <c r="H28" s="112">
        <v>2400</v>
      </c>
      <c r="I28" s="112">
        <v>2400</v>
      </c>
      <c r="J28" s="113" t="s">
        <v>109</v>
      </c>
      <c r="K28" s="113"/>
      <c r="L28" s="37"/>
      <c r="M28" s="41">
        <f t="shared" si="0"/>
        <v>2400</v>
      </c>
      <c r="N28" s="22">
        <v>0</v>
      </c>
      <c r="O28" s="23">
        <f t="shared" si="1"/>
        <v>0</v>
      </c>
    </row>
    <row r="29" spans="2:16" ht="45.6" customHeight="1" thickBot="1" x14ac:dyDescent="0.3">
      <c r="B29" s="62"/>
      <c r="C29" s="56"/>
      <c r="D29" s="66"/>
      <c r="E29" s="154"/>
      <c r="F29" s="116">
        <v>7</v>
      </c>
      <c r="G29" s="113" t="s">
        <v>140</v>
      </c>
      <c r="H29" s="112">
        <v>45000</v>
      </c>
      <c r="I29" s="112">
        <v>45000</v>
      </c>
      <c r="J29" s="113" t="s">
        <v>98</v>
      </c>
      <c r="K29" s="113"/>
      <c r="L29" s="37"/>
      <c r="M29" s="48">
        <f t="shared" si="0"/>
        <v>45000</v>
      </c>
      <c r="N29" s="18"/>
      <c r="O29" s="20">
        <f t="shared" si="1"/>
        <v>0</v>
      </c>
    </row>
    <row r="30" spans="2:16" ht="51.75" customHeight="1" thickBot="1" x14ac:dyDescent="0.3">
      <c r="B30" s="62"/>
      <c r="C30" s="56"/>
      <c r="D30" s="66"/>
      <c r="E30" s="154"/>
      <c r="F30" s="116">
        <v>7</v>
      </c>
      <c r="G30" s="113" t="s">
        <v>138</v>
      </c>
      <c r="H30" s="112">
        <v>45000</v>
      </c>
      <c r="I30" s="112">
        <v>45000</v>
      </c>
      <c r="J30" s="113" t="s">
        <v>99</v>
      </c>
      <c r="K30" s="113"/>
      <c r="L30" s="37"/>
      <c r="M30" s="48">
        <f t="shared" si="0"/>
        <v>45000</v>
      </c>
      <c r="N30" s="18"/>
      <c r="O30" s="20">
        <f t="shared" si="1"/>
        <v>0</v>
      </c>
    </row>
    <row r="31" spans="2:16" ht="51.75" customHeight="1" thickBot="1" x14ac:dyDescent="0.3">
      <c r="B31" s="62"/>
      <c r="C31" s="56"/>
      <c r="D31" s="66"/>
      <c r="E31" s="154"/>
      <c r="F31" s="116">
        <v>7</v>
      </c>
      <c r="G31" s="155" t="s">
        <v>149</v>
      </c>
      <c r="H31" s="112">
        <v>20000</v>
      </c>
      <c r="I31" s="112">
        <v>20000</v>
      </c>
      <c r="J31" s="155" t="s">
        <v>84</v>
      </c>
      <c r="K31" s="113"/>
      <c r="L31" s="37">
        <v>0</v>
      </c>
      <c r="M31" s="48">
        <f t="shared" si="0"/>
        <v>20000</v>
      </c>
      <c r="N31" s="18"/>
      <c r="O31" s="20">
        <f t="shared" si="1"/>
        <v>0</v>
      </c>
    </row>
    <row r="32" spans="2:16" ht="51.75" customHeight="1" thickBot="1" x14ac:dyDescent="0.3">
      <c r="B32" s="62"/>
      <c r="C32" s="56"/>
      <c r="D32" s="66"/>
      <c r="E32" s="154"/>
      <c r="F32" s="116">
        <v>7</v>
      </c>
      <c r="G32" s="155" t="s">
        <v>150</v>
      </c>
      <c r="H32" s="112">
        <v>20000</v>
      </c>
      <c r="I32" s="156">
        <v>20000</v>
      </c>
      <c r="J32" s="155" t="s">
        <v>86</v>
      </c>
      <c r="K32" s="113"/>
      <c r="L32" s="37"/>
      <c r="M32" s="48">
        <f t="shared" si="0"/>
        <v>20000</v>
      </c>
      <c r="N32" s="18"/>
      <c r="O32" s="20">
        <f t="shared" si="1"/>
        <v>0</v>
      </c>
    </row>
    <row r="33" spans="2:16" ht="75" customHeight="1" thickBot="1" x14ac:dyDescent="0.3">
      <c r="B33" s="62"/>
      <c r="C33" s="56"/>
      <c r="D33" s="66"/>
      <c r="E33" s="154"/>
      <c r="F33" s="116">
        <v>7</v>
      </c>
      <c r="G33" s="155" t="s">
        <v>151</v>
      </c>
      <c r="H33" s="112">
        <v>30000</v>
      </c>
      <c r="I33" s="112">
        <v>30000</v>
      </c>
      <c r="J33" s="155" t="s">
        <v>123</v>
      </c>
      <c r="K33" s="113"/>
      <c r="L33" s="37"/>
      <c r="M33" s="48">
        <f t="shared" si="0"/>
        <v>30000</v>
      </c>
      <c r="N33" s="18"/>
      <c r="O33" s="20">
        <f t="shared" si="1"/>
        <v>0</v>
      </c>
      <c r="P33" s="106"/>
    </row>
    <row r="34" spans="2:16" ht="28.9" customHeight="1" thickBot="1" x14ac:dyDescent="0.3">
      <c r="B34" s="62"/>
      <c r="C34" s="56"/>
      <c r="D34" s="66"/>
      <c r="E34" s="154"/>
      <c r="F34" s="116">
        <v>7</v>
      </c>
      <c r="G34" s="113" t="s">
        <v>152</v>
      </c>
      <c r="H34" s="112">
        <v>20000</v>
      </c>
      <c r="I34" s="112">
        <v>20000</v>
      </c>
      <c r="J34" s="113" t="s">
        <v>89</v>
      </c>
      <c r="K34" s="113"/>
      <c r="L34" s="37"/>
      <c r="M34" s="48">
        <f t="shared" si="0"/>
        <v>20000</v>
      </c>
      <c r="N34" s="18"/>
      <c r="O34" s="20">
        <f t="shared" si="1"/>
        <v>0</v>
      </c>
    </row>
    <row r="35" spans="2:16" ht="14.45" customHeight="1" thickBot="1" x14ac:dyDescent="0.3">
      <c r="B35" s="62"/>
      <c r="C35" s="56"/>
      <c r="D35" s="66"/>
      <c r="E35" s="154"/>
      <c r="F35" s="116">
        <v>7</v>
      </c>
      <c r="G35" s="113" t="s">
        <v>153</v>
      </c>
      <c r="H35" s="112">
        <v>20000</v>
      </c>
      <c r="I35" s="112">
        <v>20000</v>
      </c>
      <c r="J35" s="113" t="s">
        <v>90</v>
      </c>
      <c r="K35" s="113"/>
      <c r="L35" s="37"/>
      <c r="M35" s="48">
        <f t="shared" si="0"/>
        <v>20000</v>
      </c>
      <c r="N35" s="18"/>
      <c r="O35" s="20">
        <f t="shared" si="1"/>
        <v>0</v>
      </c>
    </row>
    <row r="36" spans="2:16" ht="26.45" customHeight="1" thickBot="1" x14ac:dyDescent="0.3">
      <c r="B36" s="62"/>
      <c r="C36" s="56"/>
      <c r="D36" s="66"/>
      <c r="E36" s="154"/>
      <c r="F36" s="116">
        <v>7</v>
      </c>
      <c r="G36" s="116" t="s">
        <v>154</v>
      </c>
      <c r="H36" s="112">
        <v>20000</v>
      </c>
      <c r="I36" s="112">
        <v>20000</v>
      </c>
      <c r="J36" s="116" t="s">
        <v>91</v>
      </c>
      <c r="K36" s="113"/>
      <c r="L36" s="37"/>
      <c r="M36" s="48">
        <f t="shared" si="0"/>
        <v>20000</v>
      </c>
      <c r="N36" s="18"/>
      <c r="O36" s="20">
        <f t="shared" si="1"/>
        <v>0</v>
      </c>
    </row>
    <row r="37" spans="2:16" ht="15.75" thickBot="1" x14ac:dyDescent="0.3">
      <c r="B37" s="62"/>
      <c r="C37" s="56"/>
      <c r="D37" s="66"/>
      <c r="E37" s="154"/>
      <c r="F37" s="116"/>
      <c r="G37" s="113"/>
      <c r="H37" s="112"/>
      <c r="I37" s="112"/>
      <c r="J37" s="116"/>
      <c r="K37" s="113"/>
      <c r="L37" s="37"/>
      <c r="M37" s="48">
        <f t="shared" si="0"/>
        <v>0</v>
      </c>
      <c r="N37" s="18"/>
      <c r="O37" s="20">
        <f t="shared" si="1"/>
        <v>0</v>
      </c>
    </row>
    <row r="38" spans="2:16" ht="60.75" customHeight="1" thickBot="1" x14ac:dyDescent="0.3">
      <c r="B38" s="63"/>
      <c r="C38" s="64"/>
      <c r="D38" s="67"/>
      <c r="E38" s="157"/>
      <c r="F38" s="128"/>
      <c r="G38" s="129"/>
      <c r="H38" s="127"/>
      <c r="I38" s="127"/>
      <c r="J38" s="128"/>
      <c r="K38" s="129"/>
      <c r="L38" s="38"/>
      <c r="M38" s="40">
        <f t="shared" si="0"/>
        <v>0</v>
      </c>
      <c r="N38" s="13"/>
      <c r="O38" s="14">
        <f t="shared" si="1"/>
        <v>0</v>
      </c>
    </row>
    <row r="39" spans="2:16" ht="46.5" customHeight="1" thickBot="1" x14ac:dyDescent="0.3">
      <c r="B39" s="62" t="s">
        <v>14</v>
      </c>
      <c r="C39" s="56" t="s">
        <v>15</v>
      </c>
      <c r="D39" s="66">
        <f>SUM(H39:H54)</f>
        <v>3483347.59</v>
      </c>
      <c r="E39" s="154">
        <f>SUM(M39:M54)</f>
        <v>2205991.04</v>
      </c>
      <c r="F39" s="168">
        <v>8</v>
      </c>
      <c r="G39" s="169" t="s">
        <v>155</v>
      </c>
      <c r="H39" s="170">
        <v>160000</v>
      </c>
      <c r="I39" s="170">
        <v>160000</v>
      </c>
      <c r="J39" s="169" t="s">
        <v>97</v>
      </c>
      <c r="K39" s="169" t="s">
        <v>279</v>
      </c>
      <c r="L39" s="41">
        <v>160000</v>
      </c>
      <c r="M39" s="41">
        <f t="shared" si="0"/>
        <v>0</v>
      </c>
      <c r="N39" s="22">
        <v>160000</v>
      </c>
      <c r="O39" s="22">
        <f t="shared" si="1"/>
        <v>0</v>
      </c>
    </row>
    <row r="40" spans="2:16" ht="148.9" customHeight="1" thickBot="1" x14ac:dyDescent="0.3">
      <c r="B40" s="62"/>
      <c r="C40" s="56"/>
      <c r="D40" s="66"/>
      <c r="E40" s="154"/>
      <c r="F40" s="116">
        <v>9</v>
      </c>
      <c r="G40" s="113" t="s">
        <v>159</v>
      </c>
      <c r="H40" s="112">
        <v>300000</v>
      </c>
      <c r="I40" s="112">
        <v>300000</v>
      </c>
      <c r="J40" s="113" t="s">
        <v>97</v>
      </c>
      <c r="K40" s="113" t="s">
        <v>281</v>
      </c>
      <c r="L40" s="37">
        <f>90000+40000+40000+40000+40000+50000</f>
        <v>300000</v>
      </c>
      <c r="M40" s="48">
        <f t="shared" si="0"/>
        <v>0</v>
      </c>
      <c r="N40" s="18">
        <f>78742.52+40000+40000+40000+40000+50000</f>
        <v>288742.52</v>
      </c>
      <c r="O40" s="18">
        <f t="shared" si="1"/>
        <v>11257.479999999981</v>
      </c>
    </row>
    <row r="41" spans="2:16" ht="73.5" customHeight="1" thickBot="1" x14ac:dyDescent="0.3">
      <c r="B41" s="62"/>
      <c r="C41" s="56"/>
      <c r="D41" s="66"/>
      <c r="E41" s="154"/>
      <c r="F41" s="116">
        <v>10</v>
      </c>
      <c r="G41" s="113" t="s">
        <v>272</v>
      </c>
      <c r="H41" s="112">
        <v>17000</v>
      </c>
      <c r="I41" s="112">
        <v>16995.21</v>
      </c>
      <c r="J41" s="113" t="s">
        <v>97</v>
      </c>
      <c r="K41" s="113" t="s">
        <v>284</v>
      </c>
      <c r="L41" s="37">
        <f>6661.87+10333.34</f>
        <v>16995.21</v>
      </c>
      <c r="M41" s="48">
        <f t="shared" si="0"/>
        <v>0</v>
      </c>
      <c r="N41" s="18">
        <f>6661.87+3961.64</f>
        <v>10623.51</v>
      </c>
      <c r="O41" s="18">
        <f t="shared" si="1"/>
        <v>6371.6999999999989</v>
      </c>
      <c r="P41" s="107" t="s">
        <v>280</v>
      </c>
    </row>
    <row r="42" spans="2:16" ht="162.75" customHeight="1" thickBot="1" x14ac:dyDescent="0.3">
      <c r="B42" s="62"/>
      <c r="C42" s="56"/>
      <c r="D42" s="66"/>
      <c r="E42" s="154"/>
      <c r="F42" s="116">
        <v>11</v>
      </c>
      <c r="G42" s="113" t="s">
        <v>275</v>
      </c>
      <c r="H42" s="112">
        <v>10000</v>
      </c>
      <c r="I42" s="112">
        <v>9398.5</v>
      </c>
      <c r="J42" s="113" t="s">
        <v>97</v>
      </c>
      <c r="K42" s="113" t="s">
        <v>289</v>
      </c>
      <c r="L42" s="37">
        <f>1198.5+1000+6700+500</f>
        <v>9398.5</v>
      </c>
      <c r="M42" s="48">
        <f t="shared" si="0"/>
        <v>0</v>
      </c>
      <c r="N42" s="18">
        <f>1198.5+1000+6700+500</f>
        <v>9398.5</v>
      </c>
      <c r="O42" s="18">
        <f t="shared" si="1"/>
        <v>0</v>
      </c>
      <c r="P42" s="108" t="s">
        <v>290</v>
      </c>
    </row>
    <row r="43" spans="2:16" ht="180.6" customHeight="1" thickBot="1" x14ac:dyDescent="0.3">
      <c r="B43" s="62"/>
      <c r="C43" s="56"/>
      <c r="D43" s="66"/>
      <c r="E43" s="154"/>
      <c r="F43" s="116">
        <v>8</v>
      </c>
      <c r="G43" s="113" t="s">
        <v>156</v>
      </c>
      <c r="H43" s="112">
        <v>500000</v>
      </c>
      <c r="I43" s="112">
        <v>500000</v>
      </c>
      <c r="J43" s="113" t="s">
        <v>98</v>
      </c>
      <c r="K43" s="103"/>
      <c r="L43" s="37"/>
      <c r="M43" s="48">
        <f t="shared" si="0"/>
        <v>500000</v>
      </c>
      <c r="N43" s="18"/>
      <c r="O43" s="18">
        <f t="shared" si="1"/>
        <v>0</v>
      </c>
    </row>
    <row r="44" spans="2:16" ht="46.5" customHeight="1" thickBot="1" x14ac:dyDescent="0.3">
      <c r="B44" s="62"/>
      <c r="C44" s="56"/>
      <c r="D44" s="66"/>
      <c r="E44" s="154"/>
      <c r="F44" s="116">
        <v>9</v>
      </c>
      <c r="G44" s="113" t="s">
        <v>160</v>
      </c>
      <c r="H44" s="112">
        <v>400000</v>
      </c>
      <c r="I44" s="112">
        <v>400000</v>
      </c>
      <c r="J44" s="113" t="s">
        <v>98</v>
      </c>
      <c r="K44" s="113"/>
      <c r="L44" s="37"/>
      <c r="M44" s="48">
        <f t="shared" si="0"/>
        <v>400000</v>
      </c>
      <c r="N44" s="18"/>
      <c r="O44" s="18">
        <f t="shared" si="1"/>
        <v>0</v>
      </c>
    </row>
    <row r="45" spans="2:16" ht="46.5" customHeight="1" thickBot="1" x14ac:dyDescent="0.3">
      <c r="B45" s="62"/>
      <c r="C45" s="56"/>
      <c r="D45" s="66"/>
      <c r="E45" s="154"/>
      <c r="F45" s="116">
        <v>10</v>
      </c>
      <c r="G45" s="113" t="s">
        <v>273</v>
      </c>
      <c r="H45" s="112">
        <v>17000</v>
      </c>
      <c r="I45" s="112">
        <v>17000</v>
      </c>
      <c r="J45" s="113" t="s">
        <v>98</v>
      </c>
      <c r="K45" s="113"/>
      <c r="L45" s="37"/>
      <c r="M45" s="48">
        <f t="shared" si="0"/>
        <v>17000</v>
      </c>
      <c r="N45" s="18"/>
      <c r="O45" s="18">
        <f t="shared" si="1"/>
        <v>0</v>
      </c>
    </row>
    <row r="46" spans="2:16" ht="27.75" customHeight="1" thickBot="1" x14ac:dyDescent="0.3">
      <c r="B46" s="62"/>
      <c r="C46" s="56"/>
      <c r="D46" s="66"/>
      <c r="E46" s="154"/>
      <c r="F46" s="116">
        <v>11</v>
      </c>
      <c r="G46" s="113" t="s">
        <v>276</v>
      </c>
      <c r="H46" s="112">
        <v>10000</v>
      </c>
      <c r="I46" s="112">
        <v>10000</v>
      </c>
      <c r="J46" s="113" t="s">
        <v>98</v>
      </c>
      <c r="K46" s="113"/>
      <c r="L46" s="37"/>
      <c r="M46" s="48">
        <f t="shared" si="0"/>
        <v>10000</v>
      </c>
      <c r="N46" s="18"/>
      <c r="O46" s="18">
        <f t="shared" si="1"/>
        <v>0</v>
      </c>
    </row>
    <row r="47" spans="2:16" ht="27.75" customHeight="1" thickBot="1" x14ac:dyDescent="0.3">
      <c r="B47" s="62"/>
      <c r="C47" s="56"/>
      <c r="D47" s="66"/>
      <c r="E47" s="154"/>
      <c r="F47" s="116">
        <v>8</v>
      </c>
      <c r="G47" s="113" t="s">
        <v>157</v>
      </c>
      <c r="H47" s="112">
        <v>500000</v>
      </c>
      <c r="I47" s="112">
        <v>500000</v>
      </c>
      <c r="J47" s="113" t="s">
        <v>99</v>
      </c>
      <c r="K47" s="113"/>
      <c r="L47" s="37"/>
      <c r="M47" s="48">
        <f t="shared" si="0"/>
        <v>500000</v>
      </c>
      <c r="N47" s="18"/>
      <c r="O47" s="18">
        <f t="shared" si="1"/>
        <v>0</v>
      </c>
    </row>
    <row r="48" spans="2:16" ht="27.75" customHeight="1" thickBot="1" x14ac:dyDescent="0.3">
      <c r="B48" s="62"/>
      <c r="C48" s="56"/>
      <c r="D48" s="66"/>
      <c r="E48" s="154"/>
      <c r="F48" s="116">
        <v>9</v>
      </c>
      <c r="G48" s="113" t="s">
        <v>161</v>
      </c>
      <c r="H48" s="112">
        <v>400000</v>
      </c>
      <c r="I48" s="112">
        <v>400000</v>
      </c>
      <c r="J48" s="113" t="s">
        <v>99</v>
      </c>
      <c r="K48" s="113"/>
      <c r="L48" s="37"/>
      <c r="M48" s="48">
        <f t="shared" si="0"/>
        <v>400000</v>
      </c>
      <c r="N48" s="18"/>
      <c r="O48" s="18">
        <f t="shared" si="1"/>
        <v>0</v>
      </c>
    </row>
    <row r="49" spans="2:16" ht="27.75" customHeight="1" thickBot="1" x14ac:dyDescent="0.3">
      <c r="B49" s="62"/>
      <c r="C49" s="56"/>
      <c r="D49" s="66"/>
      <c r="E49" s="154"/>
      <c r="F49" s="116">
        <v>10</v>
      </c>
      <c r="G49" s="113" t="s">
        <v>274</v>
      </c>
      <c r="H49" s="112">
        <v>17000</v>
      </c>
      <c r="I49" s="112">
        <v>17000</v>
      </c>
      <c r="J49" s="113" t="s">
        <v>99</v>
      </c>
      <c r="K49" s="113"/>
      <c r="L49" s="37"/>
      <c r="M49" s="48">
        <f t="shared" si="0"/>
        <v>17000</v>
      </c>
      <c r="N49" s="18"/>
      <c r="O49" s="18">
        <f t="shared" si="1"/>
        <v>0</v>
      </c>
    </row>
    <row r="50" spans="2:16" ht="27.75" customHeight="1" thickBot="1" x14ac:dyDescent="0.3">
      <c r="B50" s="62"/>
      <c r="C50" s="56"/>
      <c r="D50" s="66"/>
      <c r="E50" s="154"/>
      <c r="F50" s="116">
        <v>11</v>
      </c>
      <c r="G50" s="113" t="s">
        <v>277</v>
      </c>
      <c r="H50" s="112">
        <v>10000</v>
      </c>
      <c r="I50" s="112">
        <v>10000</v>
      </c>
      <c r="J50" s="113" t="s">
        <v>99</v>
      </c>
      <c r="K50" s="113"/>
      <c r="L50" s="37"/>
      <c r="M50" s="48">
        <f t="shared" si="0"/>
        <v>10000</v>
      </c>
      <c r="N50" s="18"/>
      <c r="O50" s="18">
        <f t="shared" si="1"/>
        <v>0</v>
      </c>
    </row>
    <row r="51" spans="2:16" ht="30.75" thickBot="1" x14ac:dyDescent="0.3">
      <c r="B51" s="62"/>
      <c r="C51" s="56"/>
      <c r="D51" s="66"/>
      <c r="E51" s="154"/>
      <c r="F51" s="116">
        <v>12</v>
      </c>
      <c r="G51" s="113" t="s">
        <v>162</v>
      </c>
      <c r="H51" s="112">
        <v>122955.36</v>
      </c>
      <c r="I51" s="112">
        <v>122955.36</v>
      </c>
      <c r="J51" s="113" t="s">
        <v>106</v>
      </c>
      <c r="K51" s="113"/>
      <c r="L51" s="37"/>
      <c r="M51" s="48">
        <f t="shared" si="0"/>
        <v>122955.36</v>
      </c>
      <c r="N51" s="18"/>
      <c r="O51" s="18">
        <f t="shared" si="1"/>
        <v>0</v>
      </c>
    </row>
    <row r="52" spans="2:16" ht="15.75" thickBot="1" x14ac:dyDescent="0.3">
      <c r="B52" s="62"/>
      <c r="C52" s="56"/>
      <c r="D52" s="66"/>
      <c r="E52" s="154"/>
      <c r="F52" s="116">
        <v>13</v>
      </c>
      <c r="G52" s="113" t="s">
        <v>164</v>
      </c>
      <c r="H52" s="112">
        <v>50000</v>
      </c>
      <c r="I52" s="112">
        <v>50000</v>
      </c>
      <c r="J52" s="113" t="s">
        <v>110</v>
      </c>
      <c r="K52" s="126" t="s">
        <v>333</v>
      </c>
      <c r="L52" s="37">
        <v>50000</v>
      </c>
      <c r="M52" s="48">
        <f t="shared" si="0"/>
        <v>0</v>
      </c>
      <c r="N52" s="18">
        <v>50000</v>
      </c>
      <c r="O52" s="18">
        <f t="shared" si="1"/>
        <v>0</v>
      </c>
    </row>
    <row r="53" spans="2:16" ht="30.75" thickBot="1" x14ac:dyDescent="0.3">
      <c r="B53" s="62"/>
      <c r="C53" s="56"/>
      <c r="D53" s="66"/>
      <c r="E53" s="154"/>
      <c r="F53" s="116">
        <v>12</v>
      </c>
      <c r="G53" s="113" t="s">
        <v>163</v>
      </c>
      <c r="H53" s="112">
        <v>50000</v>
      </c>
      <c r="I53" s="112">
        <v>50000</v>
      </c>
      <c r="J53" s="113" t="s">
        <v>110</v>
      </c>
      <c r="K53" s="126" t="s">
        <v>333</v>
      </c>
      <c r="L53" s="37">
        <v>50000</v>
      </c>
      <c r="M53" s="48">
        <f t="shared" si="0"/>
        <v>0</v>
      </c>
      <c r="N53" s="18">
        <v>23233.1</v>
      </c>
      <c r="O53" s="18">
        <f t="shared" si="1"/>
        <v>26766.9</v>
      </c>
    </row>
    <row r="54" spans="2:16" ht="60" x14ac:dyDescent="0.25">
      <c r="B54" s="62"/>
      <c r="C54" s="56"/>
      <c r="D54" s="66"/>
      <c r="E54" s="154"/>
      <c r="F54" s="116">
        <v>8</v>
      </c>
      <c r="G54" s="113" t="s">
        <v>158</v>
      </c>
      <c r="H54" s="112">
        <v>919392.23</v>
      </c>
      <c r="I54" s="112">
        <v>919392.23</v>
      </c>
      <c r="J54" s="113" t="s">
        <v>113</v>
      </c>
      <c r="K54" s="126" t="s">
        <v>287</v>
      </c>
      <c r="L54" s="37">
        <f>98324.96-35854.86+524825.15+103061.3</f>
        <v>690356.55</v>
      </c>
      <c r="M54" s="48">
        <f t="shared" si="0"/>
        <v>229035.67999999993</v>
      </c>
      <c r="N54" s="18">
        <f>62470.1+524825.15+103061.3</f>
        <v>690356.55</v>
      </c>
      <c r="O54" s="18">
        <f t="shared" si="1"/>
        <v>0</v>
      </c>
      <c r="P54" s="106" t="s">
        <v>288</v>
      </c>
    </row>
    <row r="55" spans="2:16" ht="15.75" thickBot="1" x14ac:dyDescent="0.3">
      <c r="B55" s="63"/>
      <c r="C55" s="64"/>
      <c r="D55" s="67"/>
      <c r="E55" s="157"/>
      <c r="F55" s="128"/>
      <c r="G55" s="129"/>
      <c r="H55" s="127"/>
      <c r="I55" s="127"/>
      <c r="J55" s="129"/>
      <c r="K55" s="129"/>
      <c r="L55" s="38"/>
      <c r="M55" s="38"/>
      <c r="N55" s="18"/>
      <c r="O55" s="18">
        <f t="shared" si="1"/>
        <v>0</v>
      </c>
    </row>
    <row r="56" spans="2:16" x14ac:dyDescent="0.25">
      <c r="B56" s="61" t="s">
        <v>16</v>
      </c>
      <c r="C56" s="55" t="s">
        <v>17</v>
      </c>
      <c r="D56" s="65">
        <f>SUM(H56:H57)</f>
        <v>942885.43</v>
      </c>
      <c r="E56" s="153">
        <f>SUM(M56:M57)</f>
        <v>0</v>
      </c>
      <c r="F56" s="125">
        <v>14</v>
      </c>
      <c r="G56" s="126" t="s">
        <v>165</v>
      </c>
      <c r="H56" s="124">
        <v>664332.93000000005</v>
      </c>
      <c r="I56" s="124">
        <v>664332.93000000005</v>
      </c>
      <c r="J56" s="125" t="s">
        <v>110</v>
      </c>
      <c r="K56" s="126" t="s">
        <v>333</v>
      </c>
      <c r="L56" s="48">
        <v>664332.93000000005</v>
      </c>
      <c r="M56" s="48">
        <f t="shared" ref="M56:M57" si="2">H56-L56</f>
        <v>0</v>
      </c>
      <c r="N56" s="18">
        <v>360564.18</v>
      </c>
      <c r="O56" s="18">
        <f t="shared" si="1"/>
        <v>303768.75000000006</v>
      </c>
    </row>
    <row r="57" spans="2:16" ht="45.75" thickBot="1" x14ac:dyDescent="0.3">
      <c r="B57" s="62"/>
      <c r="C57" s="56"/>
      <c r="D57" s="66"/>
      <c r="E57" s="154"/>
      <c r="F57" s="120">
        <v>15</v>
      </c>
      <c r="G57" s="158" t="s">
        <v>166</v>
      </c>
      <c r="H57" s="117">
        <v>278552.5</v>
      </c>
      <c r="I57" s="117">
        <v>278552.5</v>
      </c>
      <c r="J57" s="158" t="s">
        <v>89</v>
      </c>
      <c r="K57" s="158" t="s">
        <v>326</v>
      </c>
      <c r="L57" s="50">
        <f>272527.5+6025</f>
        <v>278552.5</v>
      </c>
      <c r="M57" s="50">
        <f t="shared" si="2"/>
        <v>0</v>
      </c>
      <c r="N57" s="18">
        <v>1793.45</v>
      </c>
      <c r="O57" s="18">
        <f t="shared" si="1"/>
        <v>276759.05</v>
      </c>
    </row>
    <row r="58" spans="2:16" x14ac:dyDescent="0.25">
      <c r="B58" s="68" t="s">
        <v>18</v>
      </c>
      <c r="C58" s="70" t="s">
        <v>19</v>
      </c>
      <c r="D58" s="72">
        <f>SUM(H58:H67)</f>
        <v>1686192.17</v>
      </c>
      <c r="E58" s="148">
        <f>SUM(M58:M67)</f>
        <v>1381617.9</v>
      </c>
      <c r="F58" s="125">
        <v>16</v>
      </c>
      <c r="G58" s="126" t="s">
        <v>167</v>
      </c>
      <c r="H58" s="124">
        <v>264191.24</v>
      </c>
      <c r="I58" s="124">
        <f>H58-37572.64-375</f>
        <v>226243.59999999998</v>
      </c>
      <c r="J58" s="125" t="s">
        <v>93</v>
      </c>
      <c r="K58" s="126"/>
      <c r="L58" s="21"/>
      <c r="M58" s="48">
        <f>I58-L58</f>
        <v>226243.59999999998</v>
      </c>
      <c r="N58" s="18"/>
      <c r="O58" s="18">
        <f t="shared" si="1"/>
        <v>0</v>
      </c>
      <c r="P58" s="106"/>
    </row>
    <row r="59" spans="2:16" x14ac:dyDescent="0.25">
      <c r="B59" s="74"/>
      <c r="C59" s="76"/>
      <c r="D59" s="78"/>
      <c r="E59" s="150"/>
      <c r="F59" s="159">
        <v>16</v>
      </c>
      <c r="G59" s="160" t="s">
        <v>168</v>
      </c>
      <c r="H59" s="161">
        <v>381737.3</v>
      </c>
      <c r="I59" s="161">
        <v>381737.3</v>
      </c>
      <c r="J59" s="162" t="s">
        <v>105</v>
      </c>
      <c r="K59" s="162" t="s">
        <v>339</v>
      </c>
      <c r="L59" s="82">
        <v>236488.9</v>
      </c>
      <c r="M59" s="94">
        <f>I59-L59</f>
        <v>145248.4</v>
      </c>
      <c r="N59" s="95">
        <v>0</v>
      </c>
      <c r="O59" s="83">
        <f t="shared" si="1"/>
        <v>236488.9</v>
      </c>
      <c r="P59" s="109"/>
    </row>
    <row r="60" spans="2:16" x14ac:dyDescent="0.25">
      <c r="B60" s="74"/>
      <c r="C60" s="76"/>
      <c r="D60" s="78"/>
      <c r="E60" s="150"/>
      <c r="F60" s="159"/>
      <c r="G60" s="137"/>
      <c r="H60" s="161"/>
      <c r="I60" s="161"/>
      <c r="J60" s="162"/>
      <c r="K60" s="162"/>
      <c r="L60" s="82"/>
      <c r="M60" s="94"/>
      <c r="N60" s="96"/>
      <c r="O60" s="58"/>
      <c r="P60" s="109"/>
    </row>
    <row r="61" spans="2:16" x14ac:dyDescent="0.25">
      <c r="B61" s="74"/>
      <c r="C61" s="76"/>
      <c r="D61" s="78"/>
      <c r="E61" s="150"/>
      <c r="F61" s="159"/>
      <c r="G61" s="137"/>
      <c r="H61" s="161"/>
      <c r="I61" s="161"/>
      <c r="J61" s="162"/>
      <c r="K61" s="162"/>
      <c r="L61" s="82"/>
      <c r="M61" s="94"/>
      <c r="N61" s="96"/>
      <c r="O61" s="58"/>
      <c r="P61" s="109"/>
    </row>
    <row r="62" spans="2:16" ht="15.75" thickBot="1" x14ac:dyDescent="0.3">
      <c r="B62" s="74"/>
      <c r="C62" s="76"/>
      <c r="D62" s="78"/>
      <c r="E62" s="150"/>
      <c r="F62" s="159"/>
      <c r="G62" s="163"/>
      <c r="H62" s="161"/>
      <c r="I62" s="161"/>
      <c r="J62" s="162"/>
      <c r="K62" s="162"/>
      <c r="L62" s="82"/>
      <c r="M62" s="94"/>
      <c r="N62" s="97"/>
      <c r="O62" s="84"/>
      <c r="P62" s="109"/>
    </row>
    <row r="63" spans="2:16" x14ac:dyDescent="0.25">
      <c r="B63" s="74"/>
      <c r="C63" s="76"/>
      <c r="D63" s="78"/>
      <c r="E63" s="150"/>
      <c r="F63" s="116">
        <v>17</v>
      </c>
      <c r="G63" s="113" t="s">
        <v>173</v>
      </c>
      <c r="H63" s="112">
        <v>20210.64</v>
      </c>
      <c r="I63" s="112">
        <v>20210.64</v>
      </c>
      <c r="J63" s="113" t="s">
        <v>110</v>
      </c>
      <c r="K63" s="126" t="s">
        <v>333</v>
      </c>
      <c r="L63" s="18">
        <v>20210.64</v>
      </c>
      <c r="M63" s="37">
        <f>I63-L63</f>
        <v>0</v>
      </c>
      <c r="N63" s="18">
        <v>20210.64</v>
      </c>
      <c r="O63" s="18">
        <f t="shared" si="1"/>
        <v>0</v>
      </c>
    </row>
    <row r="64" spans="2:16" x14ac:dyDescent="0.25">
      <c r="B64" s="74"/>
      <c r="C64" s="76"/>
      <c r="D64" s="78"/>
      <c r="E64" s="150"/>
      <c r="F64" s="116">
        <v>16</v>
      </c>
      <c r="G64" s="113" t="s">
        <v>169</v>
      </c>
      <c r="H64" s="112">
        <v>10125.9</v>
      </c>
      <c r="I64" s="112">
        <v>10125.9</v>
      </c>
      <c r="J64" s="113" t="s">
        <v>84</v>
      </c>
      <c r="K64" s="113"/>
      <c r="L64" s="18"/>
      <c r="M64" s="37">
        <f t="shared" ref="M64:M67" si="3">I64-L64</f>
        <v>10125.9</v>
      </c>
      <c r="N64" s="18"/>
      <c r="O64" s="18">
        <f t="shared" si="1"/>
        <v>0</v>
      </c>
    </row>
    <row r="65" spans="2:16" x14ac:dyDescent="0.25">
      <c r="B65" s="74"/>
      <c r="C65" s="76"/>
      <c r="D65" s="78"/>
      <c r="E65" s="150"/>
      <c r="F65" s="116">
        <v>16</v>
      </c>
      <c r="G65" s="113" t="s">
        <v>170</v>
      </c>
      <c r="H65" s="112">
        <v>9927.09</v>
      </c>
      <c r="I65" s="112">
        <v>9927.09</v>
      </c>
      <c r="J65" s="113" t="s">
        <v>86</v>
      </c>
      <c r="K65" s="113" t="s">
        <v>323</v>
      </c>
      <c r="L65" s="18">
        <v>9927.09</v>
      </c>
      <c r="M65" s="37">
        <f t="shared" si="3"/>
        <v>0</v>
      </c>
      <c r="N65" s="18">
        <v>0</v>
      </c>
      <c r="O65" s="18">
        <f t="shared" si="1"/>
        <v>9927.09</v>
      </c>
    </row>
    <row r="66" spans="2:16" x14ac:dyDescent="0.25">
      <c r="B66" s="74"/>
      <c r="C66" s="76"/>
      <c r="D66" s="78"/>
      <c r="E66" s="150"/>
      <c r="F66" s="116">
        <v>16</v>
      </c>
      <c r="G66" s="113" t="s">
        <v>171</v>
      </c>
      <c r="H66" s="112">
        <v>500000</v>
      </c>
      <c r="I66" s="112">
        <v>500000</v>
      </c>
      <c r="J66" s="113" t="s">
        <v>90</v>
      </c>
      <c r="K66" s="113"/>
      <c r="L66" s="18"/>
      <c r="M66" s="37">
        <f t="shared" si="3"/>
        <v>500000</v>
      </c>
      <c r="N66" s="18"/>
      <c r="O66" s="18">
        <f t="shared" si="1"/>
        <v>0</v>
      </c>
    </row>
    <row r="67" spans="2:16" x14ac:dyDescent="0.25">
      <c r="B67" s="74"/>
      <c r="C67" s="76"/>
      <c r="D67" s="78"/>
      <c r="E67" s="150"/>
      <c r="F67" s="116">
        <v>16</v>
      </c>
      <c r="G67" s="116" t="s">
        <v>172</v>
      </c>
      <c r="H67" s="112">
        <v>500000</v>
      </c>
      <c r="I67" s="112">
        <v>500000</v>
      </c>
      <c r="J67" s="116" t="s">
        <v>91</v>
      </c>
      <c r="K67" s="113"/>
      <c r="L67" s="18"/>
      <c r="M67" s="37">
        <f t="shared" si="3"/>
        <v>500000</v>
      </c>
      <c r="N67" s="18"/>
      <c r="O67" s="18">
        <f t="shared" si="1"/>
        <v>0</v>
      </c>
    </row>
    <row r="68" spans="2:16" ht="15.75" thickBot="1" x14ac:dyDescent="0.3">
      <c r="B68" s="69"/>
      <c r="C68" s="71"/>
      <c r="D68" s="73"/>
      <c r="E68" s="164"/>
      <c r="F68" s="120"/>
      <c r="G68" s="120"/>
      <c r="H68" s="117"/>
      <c r="I68" s="117"/>
      <c r="J68" s="120"/>
      <c r="K68" s="120"/>
      <c r="L68" s="17"/>
      <c r="M68" s="35"/>
      <c r="N68" s="18"/>
      <c r="O68" s="18">
        <f t="shared" si="1"/>
        <v>0</v>
      </c>
    </row>
    <row r="69" spans="2:16" ht="30.75" thickBot="1" x14ac:dyDescent="0.3">
      <c r="B69" s="68" t="s">
        <v>20</v>
      </c>
      <c r="C69" s="70" t="s">
        <v>21</v>
      </c>
      <c r="D69" s="72">
        <f>SUM(H69:H76)</f>
        <v>1219355.55</v>
      </c>
      <c r="E69" s="148">
        <f>SUM(M69:M76)</f>
        <v>385467.86</v>
      </c>
      <c r="F69" s="125">
        <v>18</v>
      </c>
      <c r="G69" s="126" t="s">
        <v>335</v>
      </c>
      <c r="H69" s="124">
        <v>83506</v>
      </c>
      <c r="I69" s="124">
        <v>83506</v>
      </c>
      <c r="J69" s="126" t="s">
        <v>106</v>
      </c>
      <c r="K69" s="149"/>
      <c r="L69" s="21"/>
      <c r="M69" s="48">
        <f>I69-L69</f>
        <v>83506</v>
      </c>
      <c r="N69" s="18"/>
      <c r="O69" s="18">
        <f t="shared" si="1"/>
        <v>0</v>
      </c>
    </row>
    <row r="70" spans="2:16" ht="15.75" thickBot="1" x14ac:dyDescent="0.3">
      <c r="B70" s="74"/>
      <c r="C70" s="76"/>
      <c r="D70" s="78"/>
      <c r="E70" s="150"/>
      <c r="F70" s="116">
        <v>22</v>
      </c>
      <c r="G70" s="113" t="s">
        <v>173</v>
      </c>
      <c r="H70" s="112">
        <v>126989.08</v>
      </c>
      <c r="I70" s="112">
        <v>126989.08</v>
      </c>
      <c r="J70" s="116" t="s">
        <v>110</v>
      </c>
      <c r="K70" s="126" t="s">
        <v>333</v>
      </c>
      <c r="L70" s="18">
        <v>126989.08</v>
      </c>
      <c r="M70" s="48">
        <f t="shared" ref="M70:M127" si="4">I70-L70</f>
        <v>0</v>
      </c>
      <c r="N70" s="18">
        <v>105617.7</v>
      </c>
      <c r="O70" s="18">
        <f t="shared" si="1"/>
        <v>21371.380000000005</v>
      </c>
    </row>
    <row r="71" spans="2:16" ht="15.75" thickBot="1" x14ac:dyDescent="0.3">
      <c r="B71" s="74"/>
      <c r="C71" s="76"/>
      <c r="D71" s="78"/>
      <c r="E71" s="150"/>
      <c r="F71" s="116">
        <v>21</v>
      </c>
      <c r="G71" s="113" t="s">
        <v>175</v>
      </c>
      <c r="H71" s="112">
        <v>146610</v>
      </c>
      <c r="I71" s="112">
        <v>146610</v>
      </c>
      <c r="J71" s="113" t="s">
        <v>131</v>
      </c>
      <c r="K71" s="113" t="s">
        <v>133</v>
      </c>
      <c r="L71" s="18">
        <v>146610</v>
      </c>
      <c r="M71" s="48">
        <f t="shared" si="4"/>
        <v>0</v>
      </c>
      <c r="N71" s="18">
        <v>0</v>
      </c>
      <c r="O71" s="18">
        <f t="shared" si="1"/>
        <v>146610</v>
      </c>
    </row>
    <row r="72" spans="2:16" ht="15.75" thickBot="1" x14ac:dyDescent="0.3">
      <c r="B72" s="74"/>
      <c r="C72" s="76"/>
      <c r="D72" s="78"/>
      <c r="E72" s="150"/>
      <c r="F72" s="116">
        <v>21</v>
      </c>
      <c r="G72" s="113" t="s">
        <v>176</v>
      </c>
      <c r="H72" s="112">
        <v>75117</v>
      </c>
      <c r="I72" s="112">
        <v>75117</v>
      </c>
      <c r="J72" s="113" t="s">
        <v>86</v>
      </c>
      <c r="K72" s="113" t="s">
        <v>324</v>
      </c>
      <c r="L72" s="18">
        <v>75117</v>
      </c>
      <c r="M72" s="48">
        <f t="shared" si="4"/>
        <v>0</v>
      </c>
      <c r="N72" s="18">
        <v>16961.91</v>
      </c>
      <c r="O72" s="18">
        <f t="shared" ref="O72:O137" si="5">L72-N72</f>
        <v>58155.09</v>
      </c>
    </row>
    <row r="73" spans="2:16" ht="15.75" thickBot="1" x14ac:dyDescent="0.3">
      <c r="B73" s="74"/>
      <c r="C73" s="76"/>
      <c r="D73" s="78"/>
      <c r="E73" s="150"/>
      <c r="F73" s="116">
        <v>21</v>
      </c>
      <c r="G73" s="113" t="s">
        <v>135</v>
      </c>
      <c r="H73" s="112">
        <v>90461.86</v>
      </c>
      <c r="I73" s="112">
        <v>90461.86</v>
      </c>
      <c r="J73" s="113" t="s">
        <v>120</v>
      </c>
      <c r="K73" s="113"/>
      <c r="L73" s="18"/>
      <c r="M73" s="48">
        <f t="shared" si="4"/>
        <v>90461.86</v>
      </c>
      <c r="N73" s="18"/>
      <c r="O73" s="18">
        <f t="shared" si="5"/>
        <v>0</v>
      </c>
    </row>
    <row r="74" spans="2:16" ht="60.75" thickBot="1" x14ac:dyDescent="0.3">
      <c r="B74" s="74"/>
      <c r="C74" s="76"/>
      <c r="D74" s="78"/>
      <c r="E74" s="150"/>
      <c r="F74" s="116">
        <v>21</v>
      </c>
      <c r="G74" s="113" t="s">
        <v>177</v>
      </c>
      <c r="H74" s="112">
        <v>134016.4</v>
      </c>
      <c r="I74" s="112">
        <v>134016.4</v>
      </c>
      <c r="J74" s="113" t="s">
        <v>89</v>
      </c>
      <c r="K74" s="113" t="s">
        <v>325</v>
      </c>
      <c r="L74" s="18">
        <f>120541.4+375+13100</f>
        <v>134016.4</v>
      </c>
      <c r="M74" s="48">
        <f t="shared" si="4"/>
        <v>0</v>
      </c>
      <c r="N74" s="18">
        <v>0</v>
      </c>
      <c r="O74" s="18">
        <f t="shared" si="5"/>
        <v>134016.4</v>
      </c>
    </row>
    <row r="75" spans="2:16" ht="15.75" thickBot="1" x14ac:dyDescent="0.3">
      <c r="B75" s="74"/>
      <c r="C75" s="76"/>
      <c r="D75" s="78"/>
      <c r="E75" s="150"/>
      <c r="F75" s="116">
        <v>21</v>
      </c>
      <c r="G75" s="113" t="s">
        <v>166</v>
      </c>
      <c r="H75" s="112">
        <v>351155.21</v>
      </c>
      <c r="I75" s="112">
        <v>351155.21</v>
      </c>
      <c r="J75" s="113" t="s">
        <v>89</v>
      </c>
      <c r="K75" s="113" t="s">
        <v>133</v>
      </c>
      <c r="L75" s="18">
        <v>351155.21</v>
      </c>
      <c r="M75" s="48">
        <f t="shared" si="4"/>
        <v>0</v>
      </c>
      <c r="N75" s="18">
        <v>0</v>
      </c>
      <c r="O75" s="18">
        <f t="shared" si="5"/>
        <v>351155.21</v>
      </c>
    </row>
    <row r="76" spans="2:16" ht="30.75" thickBot="1" x14ac:dyDescent="0.3">
      <c r="B76" s="74"/>
      <c r="C76" s="76"/>
      <c r="D76" s="78"/>
      <c r="E76" s="150"/>
      <c r="F76" s="116">
        <v>20</v>
      </c>
      <c r="G76" s="113" t="s">
        <v>174</v>
      </c>
      <c r="H76" s="112">
        <v>211500</v>
      </c>
      <c r="I76" s="112">
        <v>211500</v>
      </c>
      <c r="J76" s="116" t="s">
        <v>100</v>
      </c>
      <c r="K76" s="113"/>
      <c r="L76" s="18"/>
      <c r="M76" s="48">
        <f t="shared" si="4"/>
        <v>211500</v>
      </c>
      <c r="N76" s="18"/>
      <c r="O76" s="18">
        <f t="shared" si="5"/>
        <v>0</v>
      </c>
    </row>
    <row r="77" spans="2:16" ht="15.75" thickBot="1" x14ac:dyDescent="0.3">
      <c r="B77" s="75"/>
      <c r="C77" s="77"/>
      <c r="D77" s="79"/>
      <c r="E77" s="152"/>
      <c r="F77" s="128"/>
      <c r="G77" s="128"/>
      <c r="H77" s="127"/>
      <c r="I77" s="127"/>
      <c r="J77" s="128"/>
      <c r="K77" s="128"/>
      <c r="L77" s="13"/>
      <c r="M77" s="48">
        <f t="shared" si="4"/>
        <v>0</v>
      </c>
      <c r="N77" s="18"/>
      <c r="O77" s="18">
        <f t="shared" si="5"/>
        <v>0</v>
      </c>
    </row>
    <row r="78" spans="2:16" s="24" customFormat="1" ht="15.75" thickBot="1" x14ac:dyDescent="0.3">
      <c r="B78" s="7" t="s">
        <v>22</v>
      </c>
      <c r="C78" s="8" t="s">
        <v>23</v>
      </c>
      <c r="D78" s="25">
        <f>H78</f>
        <v>0</v>
      </c>
      <c r="E78" s="165">
        <f>M78</f>
        <v>0</v>
      </c>
      <c r="F78" s="122"/>
      <c r="G78" s="122"/>
      <c r="H78" s="121"/>
      <c r="I78" s="121"/>
      <c r="J78" s="122"/>
      <c r="K78" s="123"/>
      <c r="L78" s="39"/>
      <c r="M78" s="48">
        <f t="shared" si="4"/>
        <v>0</v>
      </c>
      <c r="N78" s="18"/>
      <c r="O78" s="18">
        <f t="shared" si="5"/>
        <v>0</v>
      </c>
      <c r="P78" s="110"/>
    </row>
    <row r="79" spans="2:16" ht="15.75" thickBot="1" x14ac:dyDescent="0.3">
      <c r="B79" s="68" t="s">
        <v>24</v>
      </c>
      <c r="C79" s="70" t="s">
        <v>25</v>
      </c>
      <c r="D79" s="72">
        <f>SUM(H79:H88)</f>
        <v>1627586.18</v>
      </c>
      <c r="E79" s="148">
        <f>SUM(M79:M88)</f>
        <v>1405328.18</v>
      </c>
      <c r="F79" s="125">
        <v>24</v>
      </c>
      <c r="G79" s="126" t="s">
        <v>142</v>
      </c>
      <c r="H79" s="124">
        <v>100765.24</v>
      </c>
      <c r="I79" s="124">
        <v>100765.24</v>
      </c>
      <c r="J79" s="126" t="s">
        <v>96</v>
      </c>
      <c r="K79" s="126"/>
      <c r="L79" s="21"/>
      <c r="M79" s="48">
        <f t="shared" si="4"/>
        <v>100765.24</v>
      </c>
      <c r="N79" s="18"/>
      <c r="O79" s="18">
        <f t="shared" si="5"/>
        <v>0</v>
      </c>
    </row>
    <row r="80" spans="2:16" ht="15.75" thickBot="1" x14ac:dyDescent="0.3">
      <c r="B80" s="74"/>
      <c r="C80" s="76"/>
      <c r="D80" s="78"/>
      <c r="E80" s="150"/>
      <c r="F80" s="116">
        <v>23</v>
      </c>
      <c r="G80" s="116" t="s">
        <v>178</v>
      </c>
      <c r="H80" s="112">
        <v>20000</v>
      </c>
      <c r="I80" s="112">
        <v>20000</v>
      </c>
      <c r="J80" s="116" t="s">
        <v>94</v>
      </c>
      <c r="K80" s="113"/>
      <c r="L80" s="18"/>
      <c r="M80" s="48">
        <f t="shared" si="4"/>
        <v>20000</v>
      </c>
      <c r="N80" s="18"/>
      <c r="O80" s="18">
        <f t="shared" si="5"/>
        <v>0</v>
      </c>
    </row>
    <row r="81" spans="2:16" ht="15.75" thickBot="1" x14ac:dyDescent="0.3">
      <c r="B81" s="74"/>
      <c r="C81" s="76"/>
      <c r="D81" s="78"/>
      <c r="E81" s="150"/>
      <c r="F81" s="116">
        <v>23</v>
      </c>
      <c r="G81" s="113" t="s">
        <v>302</v>
      </c>
      <c r="H81" s="112">
        <v>1000</v>
      </c>
      <c r="I81" s="112">
        <v>0</v>
      </c>
      <c r="J81" s="113" t="s">
        <v>97</v>
      </c>
      <c r="K81" s="113"/>
      <c r="L81" s="18"/>
      <c r="M81" s="48">
        <f t="shared" si="4"/>
        <v>0</v>
      </c>
      <c r="N81" s="18"/>
      <c r="O81" s="18">
        <f t="shared" si="5"/>
        <v>0</v>
      </c>
      <c r="P81" s="106"/>
    </row>
    <row r="82" spans="2:16" ht="15.75" thickBot="1" x14ac:dyDescent="0.3">
      <c r="B82" s="74"/>
      <c r="C82" s="76"/>
      <c r="D82" s="78"/>
      <c r="E82" s="150"/>
      <c r="F82" s="116">
        <v>23</v>
      </c>
      <c r="G82" s="113" t="s">
        <v>98</v>
      </c>
      <c r="H82" s="112">
        <v>10000</v>
      </c>
      <c r="I82" s="112">
        <v>10000</v>
      </c>
      <c r="J82" s="113" t="s">
        <v>98</v>
      </c>
      <c r="K82" s="113"/>
      <c r="L82" s="18"/>
      <c r="M82" s="48">
        <f t="shared" si="4"/>
        <v>10000</v>
      </c>
      <c r="N82" s="18"/>
      <c r="O82" s="18">
        <f t="shared" si="5"/>
        <v>0</v>
      </c>
    </row>
    <row r="83" spans="2:16" ht="15.75" thickBot="1" x14ac:dyDescent="0.3">
      <c r="B83" s="74"/>
      <c r="C83" s="76"/>
      <c r="D83" s="78"/>
      <c r="E83" s="150"/>
      <c r="F83" s="116">
        <v>23</v>
      </c>
      <c r="G83" s="113" t="s">
        <v>99</v>
      </c>
      <c r="H83" s="112">
        <v>10000</v>
      </c>
      <c r="I83" s="112">
        <v>10000</v>
      </c>
      <c r="J83" s="113" t="s">
        <v>99</v>
      </c>
      <c r="K83" s="113"/>
      <c r="L83" s="18"/>
      <c r="M83" s="48">
        <f t="shared" si="4"/>
        <v>10000</v>
      </c>
      <c r="N83" s="18"/>
      <c r="O83" s="18">
        <f t="shared" si="5"/>
        <v>0</v>
      </c>
    </row>
    <row r="84" spans="2:16" ht="15.75" thickBot="1" x14ac:dyDescent="0.3">
      <c r="B84" s="74"/>
      <c r="C84" s="76"/>
      <c r="D84" s="78"/>
      <c r="E84" s="150"/>
      <c r="F84" s="116">
        <v>26</v>
      </c>
      <c r="G84" s="116" t="s">
        <v>196</v>
      </c>
      <c r="H84" s="112">
        <v>325000</v>
      </c>
      <c r="I84" s="112">
        <v>325000</v>
      </c>
      <c r="J84" s="116" t="s">
        <v>118</v>
      </c>
      <c r="K84" s="113"/>
      <c r="L84" s="18"/>
      <c r="M84" s="48">
        <f t="shared" si="4"/>
        <v>325000</v>
      </c>
      <c r="N84" s="18"/>
      <c r="O84" s="18">
        <f t="shared" si="5"/>
        <v>0</v>
      </c>
    </row>
    <row r="85" spans="2:16" ht="15.75" thickBot="1" x14ac:dyDescent="0.3">
      <c r="B85" s="74"/>
      <c r="C85" s="76"/>
      <c r="D85" s="78"/>
      <c r="E85" s="150"/>
      <c r="F85" s="116">
        <v>26</v>
      </c>
      <c r="G85" s="116" t="s">
        <v>197</v>
      </c>
      <c r="H85" s="112">
        <v>325000</v>
      </c>
      <c r="I85" s="112">
        <v>325000</v>
      </c>
      <c r="J85" s="116" t="s">
        <v>118</v>
      </c>
      <c r="K85" s="113"/>
      <c r="L85" s="18"/>
      <c r="M85" s="48">
        <f t="shared" si="4"/>
        <v>325000</v>
      </c>
      <c r="N85" s="18"/>
      <c r="O85" s="18">
        <f t="shared" si="5"/>
        <v>0</v>
      </c>
    </row>
    <row r="86" spans="2:16" ht="15.75" thickBot="1" x14ac:dyDescent="0.3">
      <c r="B86" s="74"/>
      <c r="C86" s="76"/>
      <c r="D86" s="78"/>
      <c r="E86" s="150"/>
      <c r="F86" s="116">
        <v>24</v>
      </c>
      <c r="G86" s="116" t="s">
        <v>136</v>
      </c>
      <c r="H86" s="112">
        <v>395040</v>
      </c>
      <c r="I86" s="112">
        <v>395040</v>
      </c>
      <c r="J86" s="113" t="s">
        <v>121</v>
      </c>
      <c r="K86" s="113"/>
      <c r="L86" s="18"/>
      <c r="M86" s="48">
        <f t="shared" si="4"/>
        <v>395040</v>
      </c>
      <c r="N86" s="18"/>
      <c r="O86" s="18">
        <f t="shared" si="5"/>
        <v>0</v>
      </c>
    </row>
    <row r="87" spans="2:16" ht="15.75" thickBot="1" x14ac:dyDescent="0.3">
      <c r="B87" s="74"/>
      <c r="C87" s="76"/>
      <c r="D87" s="78"/>
      <c r="E87" s="150"/>
      <c r="F87" s="116">
        <v>24</v>
      </c>
      <c r="G87" s="113" t="s">
        <v>179</v>
      </c>
      <c r="H87" s="112">
        <v>219522.94</v>
      </c>
      <c r="I87" s="112">
        <v>219522.94</v>
      </c>
      <c r="J87" s="113" t="s">
        <v>122</v>
      </c>
      <c r="K87" s="113"/>
      <c r="L87" s="18"/>
      <c r="M87" s="48">
        <f t="shared" si="4"/>
        <v>219522.94</v>
      </c>
      <c r="N87" s="18"/>
      <c r="O87" s="18">
        <f t="shared" si="5"/>
        <v>0</v>
      </c>
    </row>
    <row r="88" spans="2:16" ht="15.75" thickBot="1" x14ac:dyDescent="0.3">
      <c r="B88" s="69"/>
      <c r="C88" s="71"/>
      <c r="D88" s="73"/>
      <c r="E88" s="164"/>
      <c r="F88" s="120">
        <v>25</v>
      </c>
      <c r="G88" s="120" t="s">
        <v>180</v>
      </c>
      <c r="H88" s="117">
        <v>221258</v>
      </c>
      <c r="I88" s="117">
        <f>H88-57096-164162</f>
        <v>0</v>
      </c>
      <c r="J88" s="158" t="s">
        <v>129</v>
      </c>
      <c r="K88" s="120"/>
      <c r="L88" s="17"/>
      <c r="M88" s="48">
        <f t="shared" si="4"/>
        <v>0</v>
      </c>
      <c r="N88" s="18"/>
      <c r="O88" s="18">
        <f t="shared" si="5"/>
        <v>0</v>
      </c>
      <c r="P88" s="105"/>
    </row>
    <row r="89" spans="2:16" ht="15.75" thickBot="1" x14ac:dyDescent="0.3">
      <c r="B89" s="68" t="s">
        <v>26</v>
      </c>
      <c r="C89" s="70" t="s">
        <v>27</v>
      </c>
      <c r="D89" s="72">
        <f>SUM(H89:H100)</f>
        <v>2139976.5099999998</v>
      </c>
      <c r="E89" s="153">
        <f>SUM(M89:M100)</f>
        <v>2139976.5099999998</v>
      </c>
      <c r="F89" s="125">
        <v>28</v>
      </c>
      <c r="G89" s="126" t="s">
        <v>142</v>
      </c>
      <c r="H89" s="124">
        <v>284932.51</v>
      </c>
      <c r="I89" s="124">
        <v>284932.51</v>
      </c>
      <c r="J89" s="126" t="s">
        <v>96</v>
      </c>
      <c r="K89" s="126"/>
      <c r="L89" s="21"/>
      <c r="M89" s="48">
        <f t="shared" si="4"/>
        <v>284932.51</v>
      </c>
      <c r="N89" s="18"/>
      <c r="O89" s="18">
        <f t="shared" si="5"/>
        <v>0</v>
      </c>
    </row>
    <row r="90" spans="2:16" ht="15.75" thickBot="1" x14ac:dyDescent="0.3">
      <c r="B90" s="74"/>
      <c r="C90" s="76"/>
      <c r="D90" s="78"/>
      <c r="E90" s="154"/>
      <c r="F90" s="116">
        <v>29</v>
      </c>
      <c r="G90" s="113" t="s">
        <v>186</v>
      </c>
      <c r="H90" s="112">
        <v>605000</v>
      </c>
      <c r="I90" s="112">
        <v>605000</v>
      </c>
      <c r="J90" s="113" t="s">
        <v>100</v>
      </c>
      <c r="K90" s="113"/>
      <c r="L90" s="18"/>
      <c r="M90" s="48">
        <f t="shared" si="4"/>
        <v>605000</v>
      </c>
      <c r="N90" s="18"/>
      <c r="O90" s="18">
        <f t="shared" si="5"/>
        <v>0</v>
      </c>
    </row>
    <row r="91" spans="2:16" ht="15.75" thickBot="1" x14ac:dyDescent="0.3">
      <c r="B91" s="74"/>
      <c r="C91" s="76"/>
      <c r="D91" s="78"/>
      <c r="E91" s="154"/>
      <c r="F91" s="116">
        <v>29</v>
      </c>
      <c r="G91" s="113" t="s">
        <v>187</v>
      </c>
      <c r="H91" s="112">
        <v>105000</v>
      </c>
      <c r="I91" s="112">
        <v>105000</v>
      </c>
      <c r="J91" s="113" t="s">
        <v>100</v>
      </c>
      <c r="K91" s="113"/>
      <c r="L91" s="18"/>
      <c r="M91" s="48">
        <f t="shared" si="4"/>
        <v>105000</v>
      </c>
      <c r="N91" s="18"/>
      <c r="O91" s="18">
        <f t="shared" si="5"/>
        <v>0</v>
      </c>
    </row>
    <row r="92" spans="2:16" ht="15.75" thickBot="1" x14ac:dyDescent="0.3">
      <c r="B92" s="74"/>
      <c r="C92" s="76"/>
      <c r="D92" s="78"/>
      <c r="E92" s="154"/>
      <c r="F92" s="116">
        <v>32</v>
      </c>
      <c r="G92" s="116" t="s">
        <v>200</v>
      </c>
      <c r="H92" s="112">
        <v>120000</v>
      </c>
      <c r="I92" s="112">
        <v>120000</v>
      </c>
      <c r="J92" s="116" t="s">
        <v>118</v>
      </c>
      <c r="K92" s="113"/>
      <c r="L92" s="18"/>
      <c r="M92" s="48">
        <f t="shared" si="4"/>
        <v>120000</v>
      </c>
      <c r="N92" s="18"/>
      <c r="O92" s="18">
        <f t="shared" si="5"/>
        <v>0</v>
      </c>
    </row>
    <row r="93" spans="2:16" ht="15.75" thickBot="1" x14ac:dyDescent="0.3">
      <c r="B93" s="74"/>
      <c r="C93" s="76"/>
      <c r="D93" s="78"/>
      <c r="E93" s="154"/>
      <c r="F93" s="116">
        <v>31</v>
      </c>
      <c r="G93" s="116" t="s">
        <v>199</v>
      </c>
      <c r="H93" s="112">
        <v>202500</v>
      </c>
      <c r="I93" s="112">
        <v>202500</v>
      </c>
      <c r="J93" s="116" t="s">
        <v>118</v>
      </c>
      <c r="K93" s="113"/>
      <c r="L93" s="18"/>
      <c r="M93" s="48">
        <f t="shared" si="4"/>
        <v>202500</v>
      </c>
      <c r="N93" s="18"/>
      <c r="O93" s="18">
        <f t="shared" si="5"/>
        <v>0</v>
      </c>
    </row>
    <row r="94" spans="2:16" ht="15.75" thickBot="1" x14ac:dyDescent="0.3">
      <c r="B94" s="74"/>
      <c r="C94" s="76"/>
      <c r="D94" s="78"/>
      <c r="E94" s="154"/>
      <c r="F94" s="116">
        <v>27</v>
      </c>
      <c r="G94" s="113" t="s">
        <v>181</v>
      </c>
      <c r="H94" s="112">
        <v>59899.51</v>
      </c>
      <c r="I94" s="112">
        <v>59899.51</v>
      </c>
      <c r="J94" s="113" t="s">
        <v>114</v>
      </c>
      <c r="K94" s="113"/>
      <c r="L94" s="18"/>
      <c r="M94" s="48">
        <f t="shared" si="4"/>
        <v>59899.51</v>
      </c>
      <c r="N94" s="18"/>
      <c r="O94" s="18">
        <f t="shared" si="5"/>
        <v>0</v>
      </c>
    </row>
    <row r="95" spans="2:16" ht="15.75" thickBot="1" x14ac:dyDescent="0.3">
      <c r="B95" s="74"/>
      <c r="C95" s="76"/>
      <c r="D95" s="78"/>
      <c r="E95" s="154"/>
      <c r="F95" s="116">
        <v>28</v>
      </c>
      <c r="G95" s="113" t="s">
        <v>184</v>
      </c>
      <c r="H95" s="112">
        <v>95111.49</v>
      </c>
      <c r="I95" s="112">
        <v>95111.49</v>
      </c>
      <c r="J95" s="113" t="s">
        <v>114</v>
      </c>
      <c r="K95" s="113"/>
      <c r="L95" s="18"/>
      <c r="M95" s="48">
        <f t="shared" si="4"/>
        <v>95111.49</v>
      </c>
      <c r="N95" s="18"/>
      <c r="O95" s="18">
        <f t="shared" si="5"/>
        <v>0</v>
      </c>
    </row>
    <row r="96" spans="2:16" ht="15.75" thickBot="1" x14ac:dyDescent="0.3">
      <c r="B96" s="69"/>
      <c r="C96" s="71"/>
      <c r="D96" s="73"/>
      <c r="E96" s="154"/>
      <c r="F96" s="120">
        <v>27</v>
      </c>
      <c r="G96" s="158" t="s">
        <v>182</v>
      </c>
      <c r="H96" s="112">
        <v>155011</v>
      </c>
      <c r="I96" s="112">
        <v>155011</v>
      </c>
      <c r="J96" s="113" t="s">
        <v>124</v>
      </c>
      <c r="K96" s="158"/>
      <c r="L96" s="17"/>
      <c r="M96" s="48">
        <f t="shared" si="4"/>
        <v>155011</v>
      </c>
      <c r="N96" s="18"/>
      <c r="O96" s="18">
        <f t="shared" si="5"/>
        <v>0</v>
      </c>
    </row>
    <row r="97" spans="2:16" ht="15.75" thickBot="1" x14ac:dyDescent="0.3">
      <c r="B97" s="69"/>
      <c r="C97" s="71"/>
      <c r="D97" s="73"/>
      <c r="E97" s="154"/>
      <c r="F97" s="120">
        <v>27</v>
      </c>
      <c r="G97" s="158" t="s">
        <v>183</v>
      </c>
      <c r="H97" s="112">
        <v>25089.49</v>
      </c>
      <c r="I97" s="112">
        <v>25089.49</v>
      </c>
      <c r="J97" s="113" t="s">
        <v>125</v>
      </c>
      <c r="K97" s="158"/>
      <c r="L97" s="17"/>
      <c r="M97" s="48">
        <f t="shared" si="4"/>
        <v>25089.49</v>
      </c>
      <c r="N97" s="18"/>
      <c r="O97" s="18">
        <f t="shared" si="5"/>
        <v>0</v>
      </c>
    </row>
    <row r="98" spans="2:16" ht="15.75" thickBot="1" x14ac:dyDescent="0.3">
      <c r="B98" s="69"/>
      <c r="C98" s="71"/>
      <c r="D98" s="73"/>
      <c r="E98" s="154"/>
      <c r="F98" s="120">
        <v>31</v>
      </c>
      <c r="G98" s="158" t="s">
        <v>198</v>
      </c>
      <c r="H98" s="112">
        <v>202500</v>
      </c>
      <c r="I98" s="112">
        <v>202500</v>
      </c>
      <c r="J98" s="113" t="s">
        <v>118</v>
      </c>
      <c r="K98" s="158"/>
      <c r="L98" s="17"/>
      <c r="M98" s="48">
        <f t="shared" si="4"/>
        <v>202500</v>
      </c>
      <c r="N98" s="18"/>
      <c r="O98" s="18">
        <f t="shared" si="5"/>
        <v>0</v>
      </c>
    </row>
    <row r="99" spans="2:16" ht="15.75" thickBot="1" x14ac:dyDescent="0.3">
      <c r="B99" s="69"/>
      <c r="C99" s="71"/>
      <c r="D99" s="73"/>
      <c r="E99" s="154"/>
      <c r="F99" s="116">
        <v>28</v>
      </c>
      <c r="G99" s="113" t="s">
        <v>185</v>
      </c>
      <c r="H99" s="112">
        <v>155011</v>
      </c>
      <c r="I99" s="112">
        <v>155011</v>
      </c>
      <c r="J99" s="113" t="s">
        <v>126</v>
      </c>
      <c r="K99" s="158"/>
      <c r="L99" s="17"/>
      <c r="M99" s="48">
        <f t="shared" si="4"/>
        <v>155011</v>
      </c>
      <c r="N99" s="18"/>
      <c r="O99" s="18">
        <f t="shared" si="5"/>
        <v>0</v>
      </c>
    </row>
    <row r="100" spans="2:16" ht="15.75" thickBot="1" x14ac:dyDescent="0.3">
      <c r="B100" s="75"/>
      <c r="C100" s="77"/>
      <c r="D100" s="79"/>
      <c r="E100" s="157"/>
      <c r="F100" s="128">
        <v>28</v>
      </c>
      <c r="G100" s="128" t="s">
        <v>183</v>
      </c>
      <c r="H100" s="166">
        <v>129921.51</v>
      </c>
      <c r="I100" s="166">
        <v>129921.51</v>
      </c>
      <c r="J100" s="167" t="s">
        <v>125</v>
      </c>
      <c r="K100" s="128"/>
      <c r="L100" s="13"/>
      <c r="M100" s="48">
        <f t="shared" si="4"/>
        <v>129921.51</v>
      </c>
      <c r="N100" s="18"/>
      <c r="O100" s="18">
        <f t="shared" si="5"/>
        <v>0</v>
      </c>
    </row>
    <row r="101" spans="2:16" ht="30.75" thickBot="1" x14ac:dyDescent="0.3">
      <c r="B101" s="61" t="s">
        <v>28</v>
      </c>
      <c r="C101" s="55" t="s">
        <v>29</v>
      </c>
      <c r="D101" s="65">
        <f>SUM(H101:H107)</f>
        <v>622793.19999999995</v>
      </c>
      <c r="E101" s="153">
        <f>SUM(M101:M107)</f>
        <v>359734.80000000005</v>
      </c>
      <c r="F101" s="125">
        <v>33</v>
      </c>
      <c r="G101" s="126" t="s">
        <v>264</v>
      </c>
      <c r="H101" s="124">
        <v>50000</v>
      </c>
      <c r="I101" s="124">
        <f>H101-50000</f>
        <v>0</v>
      </c>
      <c r="J101" s="125" t="s">
        <v>93</v>
      </c>
      <c r="K101" s="126"/>
      <c r="L101" s="21"/>
      <c r="M101" s="48">
        <f t="shared" si="4"/>
        <v>0</v>
      </c>
      <c r="N101" s="18"/>
      <c r="O101" s="18">
        <f t="shared" si="5"/>
        <v>0</v>
      </c>
      <c r="P101" s="107"/>
    </row>
    <row r="102" spans="2:16" ht="45.75" thickBot="1" x14ac:dyDescent="0.3">
      <c r="B102" s="62"/>
      <c r="C102" s="56"/>
      <c r="D102" s="66"/>
      <c r="E102" s="154"/>
      <c r="F102" s="116">
        <v>33</v>
      </c>
      <c r="G102" s="113" t="s">
        <v>261</v>
      </c>
      <c r="H102" s="112">
        <v>70000</v>
      </c>
      <c r="I102" s="112">
        <v>70000</v>
      </c>
      <c r="J102" s="113" t="s">
        <v>97</v>
      </c>
      <c r="K102" s="113" t="s">
        <v>293</v>
      </c>
      <c r="L102" s="18">
        <f>19267.02+5732.98+45000</f>
        <v>70000</v>
      </c>
      <c r="M102" s="48">
        <f t="shared" si="4"/>
        <v>0</v>
      </c>
      <c r="N102" s="18">
        <f>19267.02+2100</f>
        <v>21367.02</v>
      </c>
      <c r="O102" s="18">
        <f t="shared" si="5"/>
        <v>48632.979999999996</v>
      </c>
    </row>
    <row r="103" spans="2:16" ht="15.75" thickBot="1" x14ac:dyDescent="0.3">
      <c r="B103" s="62"/>
      <c r="C103" s="56"/>
      <c r="D103" s="66"/>
      <c r="E103" s="154"/>
      <c r="F103" s="116">
        <v>33</v>
      </c>
      <c r="G103" s="113" t="s">
        <v>262</v>
      </c>
      <c r="H103" s="112">
        <v>25000</v>
      </c>
      <c r="I103" s="112">
        <v>25000</v>
      </c>
      <c r="J103" s="113" t="s">
        <v>98</v>
      </c>
      <c r="K103" s="113"/>
      <c r="L103" s="18"/>
      <c r="M103" s="48">
        <f t="shared" si="4"/>
        <v>25000</v>
      </c>
      <c r="N103" s="18"/>
      <c r="O103" s="18">
        <f t="shared" si="5"/>
        <v>0</v>
      </c>
    </row>
    <row r="104" spans="2:16" ht="15.75" thickBot="1" x14ac:dyDescent="0.3">
      <c r="B104" s="62"/>
      <c r="C104" s="56"/>
      <c r="D104" s="66"/>
      <c r="E104" s="154"/>
      <c r="F104" s="116">
        <v>33</v>
      </c>
      <c r="G104" s="113" t="s">
        <v>263</v>
      </c>
      <c r="H104" s="112">
        <v>25000</v>
      </c>
      <c r="I104" s="112">
        <v>25000</v>
      </c>
      <c r="J104" s="113" t="s">
        <v>99</v>
      </c>
      <c r="K104" s="113"/>
      <c r="L104" s="18"/>
      <c r="M104" s="48">
        <f t="shared" si="4"/>
        <v>25000</v>
      </c>
      <c r="N104" s="18"/>
      <c r="O104" s="18">
        <f t="shared" si="5"/>
        <v>0</v>
      </c>
    </row>
    <row r="105" spans="2:16" ht="15.75" thickBot="1" x14ac:dyDescent="0.3">
      <c r="B105" s="62"/>
      <c r="C105" s="56"/>
      <c r="D105" s="66"/>
      <c r="E105" s="154"/>
      <c r="F105" s="116">
        <v>37</v>
      </c>
      <c r="G105" s="116" t="s">
        <v>189</v>
      </c>
      <c r="H105" s="112">
        <v>46500</v>
      </c>
      <c r="I105" s="112">
        <v>46500</v>
      </c>
      <c r="J105" s="113" t="s">
        <v>112</v>
      </c>
      <c r="K105" s="113"/>
      <c r="L105" s="18"/>
      <c r="M105" s="48">
        <f t="shared" si="4"/>
        <v>46500</v>
      </c>
      <c r="N105" s="18"/>
      <c r="O105" s="18">
        <f t="shared" si="5"/>
        <v>0</v>
      </c>
    </row>
    <row r="106" spans="2:16" ht="30.75" thickBot="1" x14ac:dyDescent="0.3">
      <c r="B106" s="62"/>
      <c r="C106" s="56"/>
      <c r="D106" s="66"/>
      <c r="E106" s="154"/>
      <c r="F106" s="116">
        <v>36</v>
      </c>
      <c r="G106" s="113" t="s">
        <v>188</v>
      </c>
      <c r="H106" s="112">
        <v>405333.2</v>
      </c>
      <c r="I106" s="112">
        <v>405333.2</v>
      </c>
      <c r="J106" s="116" t="s">
        <v>115</v>
      </c>
      <c r="K106" s="113" t="s">
        <v>341</v>
      </c>
      <c r="L106" s="18">
        <f>132998.4+2500+6600</f>
        <v>142098.4</v>
      </c>
      <c r="M106" s="48">
        <f t="shared" si="4"/>
        <v>263234.80000000005</v>
      </c>
      <c r="N106" s="18">
        <v>123014.66</v>
      </c>
      <c r="O106" s="18">
        <f t="shared" si="5"/>
        <v>19083.739999999991</v>
      </c>
      <c r="P106" s="106"/>
    </row>
    <row r="107" spans="2:16" ht="15.75" thickBot="1" x14ac:dyDescent="0.3">
      <c r="B107" s="63"/>
      <c r="C107" s="64"/>
      <c r="D107" s="67"/>
      <c r="E107" s="157"/>
      <c r="F107" s="128">
        <v>35</v>
      </c>
      <c r="G107" s="129" t="s">
        <v>265</v>
      </c>
      <c r="H107" s="127">
        <v>960</v>
      </c>
      <c r="I107" s="127">
        <v>960</v>
      </c>
      <c r="J107" s="129" t="s">
        <v>97</v>
      </c>
      <c r="K107" s="129" t="s">
        <v>294</v>
      </c>
      <c r="L107" s="13">
        <v>960</v>
      </c>
      <c r="M107" s="48">
        <f t="shared" si="4"/>
        <v>0</v>
      </c>
      <c r="N107" s="18">
        <v>960</v>
      </c>
      <c r="O107" s="18">
        <f t="shared" si="5"/>
        <v>0</v>
      </c>
    </row>
    <row r="108" spans="2:16" ht="15.75" thickBot="1" x14ac:dyDescent="0.3">
      <c r="B108" s="61" t="s">
        <v>30</v>
      </c>
      <c r="C108" s="55" t="s">
        <v>31</v>
      </c>
      <c r="D108" s="65">
        <f>SUM(H108:H118)</f>
        <v>2822156.17</v>
      </c>
      <c r="E108" s="153">
        <f>SUM(M108:M118)</f>
        <v>842406.46</v>
      </c>
      <c r="F108" s="125">
        <v>39</v>
      </c>
      <c r="G108" s="126" t="s">
        <v>319</v>
      </c>
      <c r="H108" s="124">
        <v>74222.64</v>
      </c>
      <c r="I108" s="124">
        <v>74222.64</v>
      </c>
      <c r="J108" s="125" t="s">
        <v>92</v>
      </c>
      <c r="K108" s="103"/>
      <c r="L108" s="48"/>
      <c r="M108" s="48">
        <f t="shared" si="4"/>
        <v>74222.64</v>
      </c>
      <c r="N108" s="18">
        <v>0</v>
      </c>
      <c r="O108" s="18">
        <f>L108-N108</f>
        <v>0</v>
      </c>
    </row>
    <row r="109" spans="2:16" ht="90.75" thickBot="1" x14ac:dyDescent="0.3">
      <c r="B109" s="62"/>
      <c r="C109" s="56"/>
      <c r="D109" s="66"/>
      <c r="E109" s="154"/>
      <c r="F109" s="168">
        <v>40</v>
      </c>
      <c r="G109" s="169" t="s">
        <v>322</v>
      </c>
      <c r="H109" s="170">
        <v>470537.51</v>
      </c>
      <c r="I109" s="170">
        <v>470537.51</v>
      </c>
      <c r="J109" s="168" t="s">
        <v>92</v>
      </c>
      <c r="K109" s="126" t="s">
        <v>321</v>
      </c>
      <c r="L109" s="48">
        <f>22500+58769.26+389268.25</f>
        <v>470537.51</v>
      </c>
      <c r="M109" s="48">
        <f t="shared" si="4"/>
        <v>0</v>
      </c>
      <c r="N109" s="18">
        <f>22500+58769.26</f>
        <v>81269.260000000009</v>
      </c>
      <c r="O109" s="18">
        <f>L109-N109</f>
        <v>389268.25</v>
      </c>
    </row>
    <row r="110" spans="2:16" ht="45.75" thickBot="1" x14ac:dyDescent="0.3">
      <c r="B110" s="62"/>
      <c r="C110" s="56"/>
      <c r="D110" s="66"/>
      <c r="E110" s="154"/>
      <c r="F110" s="168">
        <v>39</v>
      </c>
      <c r="G110" s="169" t="s">
        <v>195</v>
      </c>
      <c r="H110" s="170">
        <v>127438.3</v>
      </c>
      <c r="I110" s="170">
        <v>127438.3</v>
      </c>
      <c r="J110" s="168" t="s">
        <v>93</v>
      </c>
      <c r="K110" s="113" t="s">
        <v>132</v>
      </c>
      <c r="L110" s="41">
        <v>127438.3</v>
      </c>
      <c r="M110" s="48">
        <f t="shared" si="4"/>
        <v>0</v>
      </c>
      <c r="N110" s="18">
        <v>124077.25</v>
      </c>
      <c r="O110" s="18">
        <f t="shared" si="5"/>
        <v>3361.0500000000029</v>
      </c>
    </row>
    <row r="111" spans="2:16" ht="15.75" thickBot="1" x14ac:dyDescent="0.3">
      <c r="B111" s="62"/>
      <c r="C111" s="56"/>
      <c r="D111" s="66"/>
      <c r="E111" s="154"/>
      <c r="F111" s="116">
        <v>39</v>
      </c>
      <c r="G111" s="116" t="s">
        <v>194</v>
      </c>
      <c r="H111" s="112">
        <v>123227.36</v>
      </c>
      <c r="I111" s="112">
        <f>123227.36-800-122427.36</f>
        <v>0</v>
      </c>
      <c r="J111" s="116" t="s">
        <v>93</v>
      </c>
      <c r="K111" s="113"/>
      <c r="L111" s="37"/>
      <c r="M111" s="48">
        <f t="shared" si="4"/>
        <v>0</v>
      </c>
      <c r="N111" s="18"/>
      <c r="O111" s="18">
        <f t="shared" si="5"/>
        <v>0</v>
      </c>
      <c r="P111" s="106"/>
    </row>
    <row r="112" spans="2:16" ht="15.75" thickBot="1" x14ac:dyDescent="0.3">
      <c r="B112" s="62"/>
      <c r="C112" s="56"/>
      <c r="D112" s="66"/>
      <c r="E112" s="154"/>
      <c r="F112" s="116">
        <v>40</v>
      </c>
      <c r="G112" s="113" t="s">
        <v>97</v>
      </c>
      <c r="H112" s="112">
        <v>100000</v>
      </c>
      <c r="I112" s="112">
        <v>100000</v>
      </c>
      <c r="J112" s="113" t="s">
        <v>97</v>
      </c>
      <c r="K112" s="113" t="s">
        <v>301</v>
      </c>
      <c r="L112" s="37">
        <v>100000</v>
      </c>
      <c r="M112" s="48">
        <f t="shared" si="4"/>
        <v>0</v>
      </c>
      <c r="N112" s="18">
        <v>100000</v>
      </c>
      <c r="O112" s="18">
        <f t="shared" si="5"/>
        <v>0</v>
      </c>
    </row>
    <row r="113" spans="2:16" ht="15.75" thickBot="1" x14ac:dyDescent="0.3">
      <c r="B113" s="62"/>
      <c r="C113" s="56"/>
      <c r="D113" s="66"/>
      <c r="E113" s="154"/>
      <c r="F113" s="116">
        <v>40</v>
      </c>
      <c r="G113" s="113" t="s">
        <v>98</v>
      </c>
      <c r="H113" s="112">
        <v>90000</v>
      </c>
      <c r="I113" s="112">
        <v>90000</v>
      </c>
      <c r="J113" s="113" t="s">
        <v>98</v>
      </c>
      <c r="K113" s="113"/>
      <c r="L113" s="37"/>
      <c r="M113" s="48">
        <f t="shared" si="4"/>
        <v>90000</v>
      </c>
      <c r="N113" s="18"/>
      <c r="O113" s="18">
        <f t="shared" si="5"/>
        <v>0</v>
      </c>
    </row>
    <row r="114" spans="2:16" ht="15.75" thickBot="1" x14ac:dyDescent="0.3">
      <c r="B114" s="62"/>
      <c r="C114" s="56"/>
      <c r="D114" s="66"/>
      <c r="E114" s="154"/>
      <c r="F114" s="116">
        <v>40</v>
      </c>
      <c r="G114" s="113" t="s">
        <v>99</v>
      </c>
      <c r="H114" s="112">
        <v>90000</v>
      </c>
      <c r="I114" s="112">
        <v>90000</v>
      </c>
      <c r="J114" s="113" t="s">
        <v>99</v>
      </c>
      <c r="K114" s="113"/>
      <c r="L114" s="37"/>
      <c r="M114" s="48">
        <f t="shared" si="4"/>
        <v>90000</v>
      </c>
      <c r="N114" s="18"/>
      <c r="O114" s="18">
        <f t="shared" si="5"/>
        <v>0</v>
      </c>
    </row>
    <row r="115" spans="2:16" ht="60.75" thickBot="1" x14ac:dyDescent="0.3">
      <c r="B115" s="62"/>
      <c r="C115" s="56"/>
      <c r="D115" s="66"/>
      <c r="E115" s="154"/>
      <c r="F115" s="116">
        <v>38</v>
      </c>
      <c r="G115" s="113" t="s">
        <v>191</v>
      </c>
      <c r="H115" s="112">
        <v>538896</v>
      </c>
      <c r="I115" s="112">
        <v>538896</v>
      </c>
      <c r="J115" s="113" t="s">
        <v>190</v>
      </c>
      <c r="K115" s="113" t="s">
        <v>349</v>
      </c>
      <c r="L115" s="37">
        <v>73394.100000000006</v>
      </c>
      <c r="M115" s="48">
        <f t="shared" si="4"/>
        <v>465501.9</v>
      </c>
      <c r="N115" s="18">
        <v>0</v>
      </c>
      <c r="O115" s="18">
        <f t="shared" si="5"/>
        <v>73394.100000000006</v>
      </c>
    </row>
    <row r="116" spans="2:16" ht="45.75" thickBot="1" x14ac:dyDescent="0.3">
      <c r="B116" s="62"/>
      <c r="C116" s="56"/>
      <c r="D116" s="66"/>
      <c r="E116" s="154"/>
      <c r="F116" s="116">
        <v>41</v>
      </c>
      <c r="G116" s="116" t="s">
        <v>330</v>
      </c>
      <c r="H116" s="112">
        <v>750000</v>
      </c>
      <c r="I116" s="112">
        <v>750000</v>
      </c>
      <c r="J116" s="116" t="s">
        <v>118</v>
      </c>
      <c r="K116" s="113" t="s">
        <v>332</v>
      </c>
      <c r="L116" s="37">
        <f>10041.84+2510.46+614015.78+750</f>
        <v>627318.08000000007</v>
      </c>
      <c r="M116" s="48">
        <f t="shared" si="4"/>
        <v>122681.91999999993</v>
      </c>
      <c r="N116" s="18">
        <v>0</v>
      </c>
      <c r="O116" s="18">
        <f t="shared" si="5"/>
        <v>627318.08000000007</v>
      </c>
      <c r="P116" s="106"/>
    </row>
    <row r="117" spans="2:16" ht="45.75" thickBot="1" x14ac:dyDescent="0.3">
      <c r="B117" s="62"/>
      <c r="C117" s="56"/>
      <c r="D117" s="66"/>
      <c r="E117" s="154"/>
      <c r="F117" s="116">
        <v>39</v>
      </c>
      <c r="G117" s="116" t="s">
        <v>193</v>
      </c>
      <c r="H117" s="112">
        <v>292455.67</v>
      </c>
      <c r="I117" s="112">
        <v>292455.67</v>
      </c>
      <c r="J117" s="155" t="s">
        <v>87</v>
      </c>
      <c r="K117" s="113" t="s">
        <v>132</v>
      </c>
      <c r="L117" s="37">
        <v>292455.67</v>
      </c>
      <c r="M117" s="48">
        <f t="shared" si="4"/>
        <v>0</v>
      </c>
      <c r="N117" s="18">
        <v>0</v>
      </c>
      <c r="O117" s="18">
        <f t="shared" si="5"/>
        <v>292455.67</v>
      </c>
    </row>
    <row r="118" spans="2:16" ht="45.75" thickBot="1" x14ac:dyDescent="0.3">
      <c r="B118" s="63"/>
      <c r="C118" s="64"/>
      <c r="D118" s="67"/>
      <c r="E118" s="157"/>
      <c r="F118" s="128">
        <v>39</v>
      </c>
      <c r="G118" s="171" t="s">
        <v>192</v>
      </c>
      <c r="H118" s="127">
        <v>165378.69</v>
      </c>
      <c r="I118" s="127">
        <v>165378.69</v>
      </c>
      <c r="J118" s="171" t="s">
        <v>88</v>
      </c>
      <c r="K118" s="113" t="s">
        <v>318</v>
      </c>
      <c r="L118" s="38">
        <v>165378.69</v>
      </c>
      <c r="M118" s="48">
        <f t="shared" si="4"/>
        <v>0</v>
      </c>
      <c r="N118" s="18"/>
      <c r="O118" s="18">
        <f t="shared" si="5"/>
        <v>165378.69</v>
      </c>
    </row>
    <row r="119" spans="2:16" ht="15.75" thickBot="1" x14ac:dyDescent="0.3">
      <c r="B119" s="61" t="s">
        <v>32</v>
      </c>
      <c r="C119" s="55" t="s">
        <v>33</v>
      </c>
      <c r="D119" s="65">
        <f>SUM(H119:H129)</f>
        <v>1023605.3300000001</v>
      </c>
      <c r="E119" s="153">
        <f>SUM(M119:M129)</f>
        <v>564537.49</v>
      </c>
      <c r="F119" s="125">
        <v>43</v>
      </c>
      <c r="G119" s="126" t="s">
        <v>177</v>
      </c>
      <c r="H119" s="124">
        <v>177057.17</v>
      </c>
      <c r="I119" s="124">
        <f>H119-30000</f>
        <v>147057.17000000001</v>
      </c>
      <c r="J119" s="125" t="s">
        <v>89</v>
      </c>
      <c r="K119" s="126" t="s">
        <v>327</v>
      </c>
      <c r="L119" s="48">
        <v>11771.32</v>
      </c>
      <c r="M119" s="48">
        <f t="shared" si="4"/>
        <v>135285.85</v>
      </c>
      <c r="N119" s="18">
        <v>0</v>
      </c>
      <c r="O119" s="18">
        <f t="shared" si="5"/>
        <v>11771.32</v>
      </c>
      <c r="P119" s="106"/>
    </row>
    <row r="120" spans="2:16" ht="15.75" thickBot="1" x14ac:dyDescent="0.3">
      <c r="B120" s="62"/>
      <c r="C120" s="56"/>
      <c r="D120" s="66"/>
      <c r="E120" s="154"/>
      <c r="F120" s="116">
        <v>42</v>
      </c>
      <c r="G120" s="113" t="s">
        <v>320</v>
      </c>
      <c r="H120" s="112">
        <v>19740</v>
      </c>
      <c r="I120" s="112">
        <v>19740</v>
      </c>
      <c r="J120" s="116" t="s">
        <v>92</v>
      </c>
      <c r="K120" s="113"/>
      <c r="L120" s="37"/>
      <c r="M120" s="48">
        <f t="shared" si="4"/>
        <v>19740</v>
      </c>
      <c r="N120" s="18"/>
      <c r="O120" s="18">
        <f t="shared" si="5"/>
        <v>0</v>
      </c>
    </row>
    <row r="121" spans="2:16" ht="15.75" thickBot="1" x14ac:dyDescent="0.3">
      <c r="B121" s="62"/>
      <c r="C121" s="56"/>
      <c r="D121" s="66"/>
      <c r="E121" s="154"/>
      <c r="F121" s="116">
        <v>42</v>
      </c>
      <c r="G121" s="113" t="s">
        <v>178</v>
      </c>
      <c r="H121" s="112">
        <v>109511.64</v>
      </c>
      <c r="I121" s="112">
        <v>109511.64</v>
      </c>
      <c r="J121" s="113" t="s">
        <v>94</v>
      </c>
      <c r="K121" s="113"/>
      <c r="L121" s="37"/>
      <c r="M121" s="48">
        <f t="shared" si="4"/>
        <v>109511.64</v>
      </c>
      <c r="N121" s="18"/>
      <c r="O121" s="18">
        <f t="shared" si="5"/>
        <v>0</v>
      </c>
    </row>
    <row r="122" spans="2:16" ht="15.75" thickBot="1" x14ac:dyDescent="0.3">
      <c r="B122" s="62"/>
      <c r="C122" s="56"/>
      <c r="D122" s="66"/>
      <c r="E122" s="154"/>
      <c r="F122" s="116">
        <v>43</v>
      </c>
      <c r="G122" s="113" t="s">
        <v>98</v>
      </c>
      <c r="H122" s="112">
        <v>50000</v>
      </c>
      <c r="I122" s="112">
        <v>50000</v>
      </c>
      <c r="J122" s="113" t="s">
        <v>98</v>
      </c>
      <c r="K122" s="113"/>
      <c r="L122" s="37"/>
      <c r="M122" s="48">
        <f t="shared" si="4"/>
        <v>50000</v>
      </c>
      <c r="N122" s="18"/>
      <c r="O122" s="18">
        <f t="shared" si="5"/>
        <v>0</v>
      </c>
    </row>
    <row r="123" spans="2:16" ht="15.75" thickBot="1" x14ac:dyDescent="0.3">
      <c r="B123" s="62"/>
      <c r="C123" s="56"/>
      <c r="D123" s="66"/>
      <c r="E123" s="154"/>
      <c r="F123" s="116">
        <v>43</v>
      </c>
      <c r="G123" s="113" t="s">
        <v>99</v>
      </c>
      <c r="H123" s="112">
        <v>50000</v>
      </c>
      <c r="I123" s="112">
        <v>50000</v>
      </c>
      <c r="J123" s="113" t="s">
        <v>99</v>
      </c>
      <c r="K123" s="113"/>
      <c r="L123" s="37"/>
      <c r="M123" s="48">
        <f t="shared" si="4"/>
        <v>50000</v>
      </c>
      <c r="N123" s="18"/>
      <c r="O123" s="18">
        <f t="shared" si="5"/>
        <v>0</v>
      </c>
    </row>
    <row r="124" spans="2:16" ht="15.75" thickBot="1" x14ac:dyDescent="0.3">
      <c r="B124" s="62"/>
      <c r="C124" s="56"/>
      <c r="D124" s="66"/>
      <c r="E124" s="154"/>
      <c r="F124" s="116">
        <v>42</v>
      </c>
      <c r="G124" s="113" t="s">
        <v>97</v>
      </c>
      <c r="H124" s="112">
        <v>100000</v>
      </c>
      <c r="I124" s="112">
        <v>100000</v>
      </c>
      <c r="J124" s="113" t="s">
        <v>97</v>
      </c>
      <c r="K124" s="113" t="s">
        <v>300</v>
      </c>
      <c r="L124" s="37">
        <v>100000</v>
      </c>
      <c r="M124" s="48">
        <f t="shared" si="4"/>
        <v>0</v>
      </c>
      <c r="N124" s="18">
        <v>24762.43</v>
      </c>
      <c r="O124" s="18">
        <f t="shared" si="5"/>
        <v>75237.570000000007</v>
      </c>
    </row>
    <row r="125" spans="2:16" ht="15.75" thickBot="1" x14ac:dyDescent="0.3">
      <c r="B125" s="62"/>
      <c r="C125" s="56"/>
      <c r="D125" s="66"/>
      <c r="E125" s="154"/>
      <c r="F125" s="116">
        <v>42</v>
      </c>
      <c r="G125" s="113" t="s">
        <v>98</v>
      </c>
      <c r="H125" s="112">
        <v>100000</v>
      </c>
      <c r="I125" s="112">
        <v>100000</v>
      </c>
      <c r="J125" s="113" t="s">
        <v>98</v>
      </c>
      <c r="K125" s="113"/>
      <c r="L125" s="37"/>
      <c r="M125" s="48">
        <f t="shared" si="4"/>
        <v>100000</v>
      </c>
      <c r="N125" s="18"/>
      <c r="O125" s="18">
        <f t="shared" si="5"/>
        <v>0</v>
      </c>
    </row>
    <row r="126" spans="2:16" ht="15.75" thickBot="1" x14ac:dyDescent="0.3">
      <c r="B126" s="62"/>
      <c r="C126" s="56"/>
      <c r="D126" s="66"/>
      <c r="E126" s="154"/>
      <c r="F126" s="116">
        <v>42</v>
      </c>
      <c r="G126" s="113" t="s">
        <v>99</v>
      </c>
      <c r="H126" s="112">
        <v>100000</v>
      </c>
      <c r="I126" s="112">
        <v>100000</v>
      </c>
      <c r="J126" s="113" t="s">
        <v>99</v>
      </c>
      <c r="K126" s="113"/>
      <c r="L126" s="37"/>
      <c r="M126" s="48">
        <f t="shared" si="4"/>
        <v>100000</v>
      </c>
      <c r="N126" s="18"/>
      <c r="O126" s="18">
        <f t="shared" si="5"/>
        <v>0</v>
      </c>
    </row>
    <row r="127" spans="2:16" ht="75" x14ac:dyDescent="0.25">
      <c r="B127" s="62"/>
      <c r="C127" s="56"/>
      <c r="D127" s="66"/>
      <c r="E127" s="154"/>
      <c r="F127" s="120">
        <v>43</v>
      </c>
      <c r="G127" s="172" t="s">
        <v>201</v>
      </c>
      <c r="H127" s="117">
        <v>317296.52</v>
      </c>
      <c r="I127" s="118">
        <v>317296.52</v>
      </c>
      <c r="J127" s="119" t="s">
        <v>86</v>
      </c>
      <c r="K127" s="172" t="s">
        <v>278</v>
      </c>
      <c r="L127" s="42">
        <v>317296.52</v>
      </c>
      <c r="M127" s="48">
        <f t="shared" si="4"/>
        <v>0</v>
      </c>
      <c r="N127" s="17">
        <v>0</v>
      </c>
      <c r="O127" s="17">
        <f>L127-N127</f>
        <v>317296.52</v>
      </c>
      <c r="P127" s="106"/>
    </row>
    <row r="128" spans="2:16" ht="75" x14ac:dyDescent="0.25">
      <c r="B128" s="62"/>
      <c r="C128" s="56"/>
      <c r="D128" s="66"/>
      <c r="E128" s="154"/>
      <c r="F128" s="173">
        <v>42</v>
      </c>
      <c r="G128" s="173" t="s">
        <v>313</v>
      </c>
      <c r="H128" s="174"/>
      <c r="I128" s="174">
        <f>122427.36+50000+37572.64</f>
        <v>210000</v>
      </c>
      <c r="J128" s="173" t="s">
        <v>93</v>
      </c>
      <c r="K128" s="175" t="s">
        <v>314</v>
      </c>
      <c r="L128" s="51">
        <v>210000</v>
      </c>
      <c r="M128" s="52">
        <f>I128-L128</f>
        <v>0</v>
      </c>
      <c r="N128" s="52">
        <v>0</v>
      </c>
      <c r="O128" s="17">
        <f>L128-N128</f>
        <v>210000</v>
      </c>
      <c r="P128" s="106" t="s">
        <v>317</v>
      </c>
    </row>
    <row r="129" spans="2:16" ht="30.75" thickBot="1" x14ac:dyDescent="0.3">
      <c r="B129" s="63"/>
      <c r="C129" s="64"/>
      <c r="D129" s="67"/>
      <c r="E129" s="157"/>
      <c r="F129" s="111">
        <v>42</v>
      </c>
      <c r="G129" s="173" t="s">
        <v>313</v>
      </c>
      <c r="H129" s="146"/>
      <c r="I129" s="146">
        <v>375</v>
      </c>
      <c r="J129" s="111" t="s">
        <v>93</v>
      </c>
      <c r="K129" s="111" t="s">
        <v>315</v>
      </c>
      <c r="L129" s="46">
        <v>375</v>
      </c>
      <c r="M129" s="52">
        <f>I129-L129</f>
        <v>0</v>
      </c>
      <c r="N129" s="36">
        <v>375</v>
      </c>
      <c r="O129" s="17">
        <f>L129-N129</f>
        <v>0</v>
      </c>
      <c r="P129" s="106" t="s">
        <v>316</v>
      </c>
    </row>
    <row r="130" spans="2:16" ht="30" x14ac:dyDescent="0.25">
      <c r="B130" s="61" t="s">
        <v>34</v>
      </c>
      <c r="C130" s="55" t="s">
        <v>35</v>
      </c>
      <c r="D130" s="65">
        <f>SUM(H130:H137)</f>
        <v>1001159.08</v>
      </c>
      <c r="E130" s="153">
        <f>SUM(M130:M137)</f>
        <v>811316.17999999993</v>
      </c>
      <c r="F130" s="136">
        <v>45</v>
      </c>
      <c r="G130" s="104" t="s">
        <v>205</v>
      </c>
      <c r="H130" s="135">
        <v>330000</v>
      </c>
      <c r="I130" s="176">
        <v>330000</v>
      </c>
      <c r="J130" s="137" t="s">
        <v>100</v>
      </c>
      <c r="K130" s="137"/>
      <c r="L130" s="58"/>
      <c r="M130" s="89">
        <f>I130-L130</f>
        <v>330000</v>
      </c>
      <c r="N130" s="22"/>
      <c r="O130" s="22">
        <f t="shared" si="5"/>
        <v>0</v>
      </c>
    </row>
    <row r="131" spans="2:16" x14ac:dyDescent="0.25">
      <c r="B131" s="62"/>
      <c r="C131" s="56"/>
      <c r="D131" s="66"/>
      <c r="E131" s="154"/>
      <c r="F131" s="177"/>
      <c r="G131" s="178"/>
      <c r="H131" s="179"/>
      <c r="I131" s="179"/>
      <c r="J131" s="163"/>
      <c r="K131" s="163"/>
      <c r="L131" s="84"/>
      <c r="M131" s="92"/>
      <c r="N131" s="18"/>
      <c r="O131" s="18">
        <f t="shared" si="5"/>
        <v>0</v>
      </c>
    </row>
    <row r="132" spans="2:16" x14ac:dyDescent="0.25">
      <c r="B132" s="62"/>
      <c r="C132" s="56"/>
      <c r="D132" s="66"/>
      <c r="E132" s="154"/>
      <c r="F132" s="116">
        <v>45</v>
      </c>
      <c r="G132" s="113" t="s">
        <v>206</v>
      </c>
      <c r="H132" s="112">
        <v>40438.720000000001</v>
      </c>
      <c r="I132" s="112">
        <v>40438.720000000001</v>
      </c>
      <c r="J132" s="113" t="s">
        <v>89</v>
      </c>
      <c r="K132" s="113"/>
      <c r="L132" s="37"/>
      <c r="M132" s="37">
        <f>I132-L132</f>
        <v>40438.720000000001</v>
      </c>
      <c r="N132" s="18"/>
      <c r="O132" s="18">
        <f t="shared" si="5"/>
        <v>0</v>
      </c>
      <c r="P132" s="106"/>
    </row>
    <row r="133" spans="2:16" x14ac:dyDescent="0.25">
      <c r="B133" s="62"/>
      <c r="C133" s="56"/>
      <c r="D133" s="66"/>
      <c r="E133" s="154"/>
      <c r="F133" s="116">
        <v>45</v>
      </c>
      <c r="G133" s="113" t="s">
        <v>207</v>
      </c>
      <c r="H133" s="112">
        <v>40438.730000000003</v>
      </c>
      <c r="I133" s="112">
        <v>40438.730000000003</v>
      </c>
      <c r="J133" s="113" t="s">
        <v>90</v>
      </c>
      <c r="K133" s="113"/>
      <c r="L133" s="37"/>
      <c r="M133" s="37">
        <f t="shared" ref="M133:M137" si="6">I133-L133</f>
        <v>40438.730000000003</v>
      </c>
      <c r="N133" s="18"/>
      <c r="O133" s="18">
        <f t="shared" si="5"/>
        <v>0</v>
      </c>
    </row>
    <row r="134" spans="2:16" x14ac:dyDescent="0.25">
      <c r="B134" s="62"/>
      <c r="C134" s="56"/>
      <c r="D134" s="66"/>
      <c r="E134" s="154"/>
      <c r="F134" s="116">
        <v>45</v>
      </c>
      <c r="G134" s="116" t="s">
        <v>208</v>
      </c>
      <c r="H134" s="112">
        <v>40438.730000000003</v>
      </c>
      <c r="I134" s="112">
        <v>40438.730000000003</v>
      </c>
      <c r="J134" s="116" t="s">
        <v>91</v>
      </c>
      <c r="K134" s="113"/>
      <c r="L134" s="37"/>
      <c r="M134" s="37">
        <f t="shared" si="6"/>
        <v>40438.730000000003</v>
      </c>
      <c r="N134" s="18"/>
      <c r="O134" s="18">
        <f t="shared" si="5"/>
        <v>0</v>
      </c>
    </row>
    <row r="135" spans="2:16" x14ac:dyDescent="0.25">
      <c r="B135" s="62"/>
      <c r="C135" s="56"/>
      <c r="D135" s="66"/>
      <c r="E135" s="154"/>
      <c r="F135" s="116">
        <v>44</v>
      </c>
      <c r="G135" s="113" t="s">
        <v>202</v>
      </c>
      <c r="H135" s="112">
        <v>189842.9</v>
      </c>
      <c r="I135" s="112">
        <v>189842.9</v>
      </c>
      <c r="J135" s="113" t="s">
        <v>97</v>
      </c>
      <c r="K135" s="113" t="s">
        <v>297</v>
      </c>
      <c r="L135" s="37">
        <v>189842.9</v>
      </c>
      <c r="M135" s="37">
        <f t="shared" si="6"/>
        <v>0</v>
      </c>
      <c r="N135" s="18">
        <v>148699.56</v>
      </c>
      <c r="O135" s="18">
        <f t="shared" si="5"/>
        <v>41143.339999999997</v>
      </c>
    </row>
    <row r="136" spans="2:16" x14ac:dyDescent="0.25">
      <c r="B136" s="62"/>
      <c r="C136" s="56"/>
      <c r="D136" s="66"/>
      <c r="E136" s="154"/>
      <c r="F136" s="116">
        <v>44</v>
      </c>
      <c r="G136" s="113" t="s">
        <v>203</v>
      </c>
      <c r="H136" s="112">
        <v>160000</v>
      </c>
      <c r="I136" s="112">
        <v>160000</v>
      </c>
      <c r="J136" s="113" t="s">
        <v>98</v>
      </c>
      <c r="K136" s="113"/>
      <c r="L136" s="37"/>
      <c r="M136" s="37">
        <f t="shared" si="6"/>
        <v>160000</v>
      </c>
      <c r="N136" s="18"/>
      <c r="O136" s="18">
        <f t="shared" si="5"/>
        <v>0</v>
      </c>
    </row>
    <row r="137" spans="2:16" ht="15.75" thickBot="1" x14ac:dyDescent="0.3">
      <c r="B137" s="62"/>
      <c r="C137" s="56"/>
      <c r="D137" s="66"/>
      <c r="E137" s="154"/>
      <c r="F137" s="120">
        <v>44</v>
      </c>
      <c r="G137" s="158" t="s">
        <v>204</v>
      </c>
      <c r="H137" s="117">
        <v>200000</v>
      </c>
      <c r="I137" s="117">
        <v>200000</v>
      </c>
      <c r="J137" s="158" t="s">
        <v>99</v>
      </c>
      <c r="K137" s="158"/>
      <c r="L137" s="50"/>
      <c r="M137" s="37">
        <f t="shared" si="6"/>
        <v>200000</v>
      </c>
      <c r="N137" s="18"/>
      <c r="O137" s="18">
        <f t="shared" si="5"/>
        <v>0</v>
      </c>
    </row>
    <row r="138" spans="2:16" ht="60" x14ac:dyDescent="0.25">
      <c r="B138" s="68" t="s">
        <v>36</v>
      </c>
      <c r="C138" s="70" t="s">
        <v>37</v>
      </c>
      <c r="D138" s="72">
        <f>SUM(H138:H143)</f>
        <v>1509091.76</v>
      </c>
      <c r="E138" s="148">
        <f>SUM(M138:M143)</f>
        <v>1052000</v>
      </c>
      <c r="F138" s="180">
        <v>46</v>
      </c>
      <c r="G138" s="181" t="s">
        <v>97</v>
      </c>
      <c r="H138" s="182">
        <v>457091.76</v>
      </c>
      <c r="I138" s="182">
        <v>457091.76</v>
      </c>
      <c r="J138" s="183" t="s">
        <v>97</v>
      </c>
      <c r="K138" s="180" t="s">
        <v>291</v>
      </c>
      <c r="L138" s="81">
        <v>457091.76</v>
      </c>
      <c r="M138" s="93">
        <f>I138-L138</f>
        <v>0</v>
      </c>
      <c r="N138" s="18">
        <v>457091.76</v>
      </c>
      <c r="O138" s="18">
        <f t="shared" ref="O138:O203" si="7">L138-N138</f>
        <v>0</v>
      </c>
      <c r="P138" s="106" t="s">
        <v>292</v>
      </c>
    </row>
    <row r="139" spans="2:16" x14ac:dyDescent="0.25">
      <c r="B139" s="74"/>
      <c r="C139" s="76"/>
      <c r="D139" s="78"/>
      <c r="E139" s="150"/>
      <c r="F139" s="159"/>
      <c r="G139" s="178"/>
      <c r="H139" s="161"/>
      <c r="I139" s="161"/>
      <c r="J139" s="162"/>
      <c r="K139" s="159"/>
      <c r="L139" s="82"/>
      <c r="M139" s="94"/>
      <c r="N139" s="18"/>
      <c r="O139" s="18">
        <f t="shared" si="7"/>
        <v>0</v>
      </c>
    </row>
    <row r="140" spans="2:16" x14ac:dyDescent="0.25">
      <c r="B140" s="74"/>
      <c r="C140" s="76"/>
      <c r="D140" s="78"/>
      <c r="E140" s="150"/>
      <c r="F140" s="116">
        <v>46</v>
      </c>
      <c r="G140" s="113" t="s">
        <v>98</v>
      </c>
      <c r="H140" s="112">
        <v>476000</v>
      </c>
      <c r="I140" s="112">
        <v>476000</v>
      </c>
      <c r="J140" s="113" t="s">
        <v>98</v>
      </c>
      <c r="K140" s="116"/>
      <c r="L140" s="18"/>
      <c r="M140" s="37">
        <f>I140-L140</f>
        <v>476000</v>
      </c>
      <c r="N140" s="18"/>
      <c r="O140" s="18">
        <f t="shared" si="7"/>
        <v>0</v>
      </c>
    </row>
    <row r="141" spans="2:16" x14ac:dyDescent="0.25">
      <c r="B141" s="74"/>
      <c r="C141" s="76"/>
      <c r="D141" s="78"/>
      <c r="E141" s="150"/>
      <c r="F141" s="116">
        <v>47</v>
      </c>
      <c r="G141" s="113" t="s">
        <v>98</v>
      </c>
      <c r="H141" s="112">
        <v>50000</v>
      </c>
      <c r="I141" s="112">
        <v>50000</v>
      </c>
      <c r="J141" s="113" t="s">
        <v>98</v>
      </c>
      <c r="K141" s="113"/>
      <c r="L141" s="18"/>
      <c r="M141" s="37">
        <f t="shared" ref="M141:M146" si="8">I141-L141</f>
        <v>50000</v>
      </c>
      <c r="N141" s="18"/>
      <c r="O141" s="18">
        <f t="shared" si="7"/>
        <v>0</v>
      </c>
    </row>
    <row r="142" spans="2:16" x14ac:dyDescent="0.25">
      <c r="B142" s="74"/>
      <c r="C142" s="76"/>
      <c r="D142" s="78"/>
      <c r="E142" s="150"/>
      <c r="F142" s="116">
        <v>46</v>
      </c>
      <c r="G142" s="113" t="s">
        <v>99</v>
      </c>
      <c r="H142" s="112">
        <v>476000</v>
      </c>
      <c r="I142" s="112">
        <v>476000</v>
      </c>
      <c r="J142" s="113" t="s">
        <v>99</v>
      </c>
      <c r="K142" s="113"/>
      <c r="L142" s="18"/>
      <c r="M142" s="37">
        <f t="shared" si="8"/>
        <v>476000</v>
      </c>
      <c r="N142" s="18"/>
      <c r="O142" s="18">
        <f t="shared" si="7"/>
        <v>0</v>
      </c>
    </row>
    <row r="143" spans="2:16" ht="15.75" thickBot="1" x14ac:dyDescent="0.3">
      <c r="B143" s="75"/>
      <c r="C143" s="77"/>
      <c r="D143" s="79"/>
      <c r="E143" s="152"/>
      <c r="F143" s="128">
        <v>47</v>
      </c>
      <c r="G143" s="128" t="s">
        <v>99</v>
      </c>
      <c r="H143" s="127">
        <v>50000</v>
      </c>
      <c r="I143" s="127">
        <v>50000</v>
      </c>
      <c r="J143" s="128" t="s">
        <v>99</v>
      </c>
      <c r="K143" s="128"/>
      <c r="L143" s="13"/>
      <c r="M143" s="37">
        <f t="shared" si="8"/>
        <v>50000</v>
      </c>
      <c r="N143" s="18"/>
      <c r="O143" s="18">
        <f t="shared" si="7"/>
        <v>0</v>
      </c>
    </row>
    <row r="144" spans="2:16" x14ac:dyDescent="0.25">
      <c r="B144" s="61" t="s">
        <v>38</v>
      </c>
      <c r="C144" s="55" t="s">
        <v>39</v>
      </c>
      <c r="D144" s="65">
        <f>SUM(H144:H148)</f>
        <v>8401400</v>
      </c>
      <c r="E144" s="153">
        <f>SUM(M144:M148)</f>
        <v>7454944.4800000004</v>
      </c>
      <c r="F144" s="125">
        <v>48</v>
      </c>
      <c r="G144" s="126" t="s">
        <v>270</v>
      </c>
      <c r="H144" s="124">
        <v>75000</v>
      </c>
      <c r="I144" s="124">
        <v>75000</v>
      </c>
      <c r="J144" s="126" t="s">
        <v>98</v>
      </c>
      <c r="K144" s="126"/>
      <c r="L144" s="48"/>
      <c r="M144" s="37">
        <f t="shared" si="8"/>
        <v>75000</v>
      </c>
      <c r="N144" s="18"/>
      <c r="O144" s="18">
        <f t="shared" si="7"/>
        <v>0</v>
      </c>
    </row>
    <row r="145" spans="2:16" x14ac:dyDescent="0.25">
      <c r="B145" s="62"/>
      <c r="C145" s="56"/>
      <c r="D145" s="66"/>
      <c r="E145" s="154"/>
      <c r="F145" s="116">
        <v>48</v>
      </c>
      <c r="G145" s="113" t="s">
        <v>271</v>
      </c>
      <c r="H145" s="112">
        <v>75000</v>
      </c>
      <c r="I145" s="112">
        <v>75000</v>
      </c>
      <c r="J145" s="113" t="s">
        <v>99</v>
      </c>
      <c r="K145" s="113"/>
      <c r="L145" s="37"/>
      <c r="M145" s="37">
        <f t="shared" si="8"/>
        <v>75000</v>
      </c>
      <c r="N145" s="18"/>
      <c r="O145" s="18">
        <f t="shared" si="7"/>
        <v>0</v>
      </c>
    </row>
    <row r="146" spans="2:16" ht="30" x14ac:dyDescent="0.25">
      <c r="B146" s="62"/>
      <c r="C146" s="56"/>
      <c r="D146" s="66"/>
      <c r="E146" s="154"/>
      <c r="F146" s="116">
        <v>50</v>
      </c>
      <c r="G146" s="113" t="s">
        <v>210</v>
      </c>
      <c r="H146" s="112">
        <v>650000</v>
      </c>
      <c r="I146" s="112">
        <v>650000</v>
      </c>
      <c r="J146" s="113" t="s">
        <v>118</v>
      </c>
      <c r="K146" s="113"/>
      <c r="L146" s="37"/>
      <c r="M146" s="37">
        <f t="shared" si="8"/>
        <v>650000</v>
      </c>
      <c r="N146" s="18"/>
      <c r="O146" s="18">
        <f t="shared" si="7"/>
        <v>0</v>
      </c>
    </row>
    <row r="147" spans="2:16" ht="30" x14ac:dyDescent="0.25">
      <c r="B147" s="62"/>
      <c r="C147" s="56"/>
      <c r="D147" s="66"/>
      <c r="E147" s="154"/>
      <c r="F147" s="116">
        <v>49</v>
      </c>
      <c r="G147" s="113" t="s">
        <v>209</v>
      </c>
      <c r="H147" s="112">
        <v>7500000</v>
      </c>
      <c r="I147" s="112">
        <v>7500000</v>
      </c>
      <c r="J147" s="116" t="s">
        <v>118</v>
      </c>
      <c r="K147" s="113" t="s">
        <v>331</v>
      </c>
      <c r="L147" s="37">
        <v>845055.52</v>
      </c>
      <c r="M147" s="37">
        <f>I147-L147</f>
        <v>6654944.4800000004</v>
      </c>
      <c r="N147" s="18">
        <v>196052.45</v>
      </c>
      <c r="O147" s="18">
        <f t="shared" si="7"/>
        <v>649003.07000000007</v>
      </c>
      <c r="P147" s="106"/>
    </row>
    <row r="148" spans="2:16" ht="90.75" thickBot="1" x14ac:dyDescent="0.3">
      <c r="B148" s="63"/>
      <c r="C148" s="64"/>
      <c r="D148" s="67"/>
      <c r="E148" s="157"/>
      <c r="F148" s="128">
        <v>48</v>
      </c>
      <c r="G148" s="129" t="s">
        <v>269</v>
      </c>
      <c r="H148" s="127">
        <v>101400</v>
      </c>
      <c r="I148" s="127">
        <v>99948</v>
      </c>
      <c r="J148" s="129" t="s">
        <v>97</v>
      </c>
      <c r="K148" s="129" t="s">
        <v>298</v>
      </c>
      <c r="L148" s="38">
        <f>86400+478+4270+5000+800+3000</f>
        <v>99948</v>
      </c>
      <c r="M148" s="38">
        <f>I148-L148</f>
        <v>0</v>
      </c>
      <c r="N148" s="18">
        <f>67788.09+478+4270+5000</f>
        <v>77536.09</v>
      </c>
      <c r="O148" s="18">
        <f t="shared" si="7"/>
        <v>22411.910000000003</v>
      </c>
      <c r="P148" s="106" t="s">
        <v>356</v>
      </c>
    </row>
    <row r="149" spans="2:16" x14ac:dyDescent="0.25">
      <c r="B149" s="61" t="s">
        <v>40</v>
      </c>
      <c r="C149" s="55" t="s">
        <v>41</v>
      </c>
      <c r="D149" s="65">
        <f>H149</f>
        <v>0</v>
      </c>
      <c r="E149" s="153">
        <f>M149</f>
        <v>0</v>
      </c>
      <c r="F149" s="132"/>
      <c r="G149" s="133"/>
      <c r="H149" s="131"/>
      <c r="I149" s="131"/>
      <c r="J149" s="132"/>
      <c r="K149" s="133"/>
      <c r="L149" s="57"/>
      <c r="M149" s="88">
        <f>I149-L149</f>
        <v>0</v>
      </c>
      <c r="N149" s="83"/>
      <c r="O149" s="18">
        <f t="shared" si="7"/>
        <v>0</v>
      </c>
    </row>
    <row r="150" spans="2:16" x14ac:dyDescent="0.25">
      <c r="B150" s="62"/>
      <c r="C150" s="56"/>
      <c r="D150" s="66"/>
      <c r="E150" s="154"/>
      <c r="F150" s="136"/>
      <c r="G150" s="137"/>
      <c r="H150" s="135"/>
      <c r="I150" s="135"/>
      <c r="J150" s="136"/>
      <c r="K150" s="137"/>
      <c r="L150" s="58"/>
      <c r="M150" s="89"/>
      <c r="N150" s="58"/>
      <c r="O150" s="18">
        <f t="shared" si="7"/>
        <v>0</v>
      </c>
    </row>
    <row r="151" spans="2:16" x14ac:dyDescent="0.25">
      <c r="B151" s="62"/>
      <c r="C151" s="56"/>
      <c r="D151" s="66"/>
      <c r="E151" s="154"/>
      <c r="F151" s="136"/>
      <c r="G151" s="137"/>
      <c r="H151" s="135"/>
      <c r="I151" s="135"/>
      <c r="J151" s="136"/>
      <c r="K151" s="137"/>
      <c r="L151" s="58"/>
      <c r="M151" s="89"/>
      <c r="N151" s="58"/>
      <c r="O151" s="18">
        <f t="shared" si="7"/>
        <v>0</v>
      </c>
    </row>
    <row r="152" spans="2:16" x14ac:dyDescent="0.25">
      <c r="B152" s="62"/>
      <c r="C152" s="56"/>
      <c r="D152" s="66"/>
      <c r="E152" s="154"/>
      <c r="F152" s="136"/>
      <c r="G152" s="137"/>
      <c r="H152" s="135"/>
      <c r="I152" s="135"/>
      <c r="J152" s="136"/>
      <c r="K152" s="137"/>
      <c r="L152" s="58"/>
      <c r="M152" s="89"/>
      <c r="N152" s="58"/>
      <c r="O152" s="18">
        <f t="shared" si="7"/>
        <v>0</v>
      </c>
    </row>
    <row r="153" spans="2:16" x14ac:dyDescent="0.25">
      <c r="B153" s="62"/>
      <c r="C153" s="56"/>
      <c r="D153" s="66"/>
      <c r="E153" s="154"/>
      <c r="F153" s="136"/>
      <c r="G153" s="137"/>
      <c r="H153" s="135"/>
      <c r="I153" s="135"/>
      <c r="J153" s="136"/>
      <c r="K153" s="137"/>
      <c r="L153" s="58"/>
      <c r="M153" s="89"/>
      <c r="N153" s="58"/>
      <c r="O153" s="18">
        <f t="shared" si="7"/>
        <v>0</v>
      </c>
    </row>
    <row r="154" spans="2:16" ht="15.75" thickBot="1" x14ac:dyDescent="0.3">
      <c r="B154" s="63"/>
      <c r="C154" s="64"/>
      <c r="D154" s="67"/>
      <c r="E154" s="157"/>
      <c r="F154" s="184"/>
      <c r="G154" s="185"/>
      <c r="H154" s="186"/>
      <c r="I154" s="186"/>
      <c r="J154" s="184"/>
      <c r="K154" s="185"/>
      <c r="L154" s="80"/>
      <c r="M154" s="91"/>
      <c r="N154" s="84"/>
      <c r="O154" s="18">
        <f t="shared" si="7"/>
        <v>0</v>
      </c>
    </row>
    <row r="155" spans="2:16" x14ac:dyDescent="0.25">
      <c r="B155" s="61" t="s">
        <v>42</v>
      </c>
      <c r="C155" s="55" t="s">
        <v>43</v>
      </c>
      <c r="D155" s="65">
        <f>H154+H155+H156</f>
        <v>0</v>
      </c>
      <c r="E155" s="153">
        <f>M154+M155+M156</f>
        <v>0</v>
      </c>
      <c r="F155" s="132"/>
      <c r="G155" s="133"/>
      <c r="H155" s="131"/>
      <c r="I155" s="131"/>
      <c r="J155" s="133"/>
      <c r="K155" s="133"/>
      <c r="L155" s="57"/>
      <c r="M155" s="88">
        <f t="shared" ref="M155" si="9">H155-L155</f>
        <v>0</v>
      </c>
      <c r="N155" s="83"/>
      <c r="O155" s="18">
        <f t="shared" si="7"/>
        <v>0</v>
      </c>
    </row>
    <row r="156" spans="2:16" ht="15.75" thickBot="1" x14ac:dyDescent="0.3">
      <c r="B156" s="62"/>
      <c r="C156" s="56"/>
      <c r="D156" s="66"/>
      <c r="E156" s="154"/>
      <c r="F156" s="136"/>
      <c r="G156" s="185"/>
      <c r="H156" s="135"/>
      <c r="I156" s="186"/>
      <c r="J156" s="137"/>
      <c r="K156" s="137"/>
      <c r="L156" s="58"/>
      <c r="M156" s="89"/>
      <c r="N156" s="84"/>
      <c r="O156" s="18">
        <f t="shared" si="7"/>
        <v>0</v>
      </c>
    </row>
    <row r="157" spans="2:16" ht="30.75" thickBot="1" x14ac:dyDescent="0.3">
      <c r="B157" s="68" t="s">
        <v>44</v>
      </c>
      <c r="C157" s="70" t="s">
        <v>45</v>
      </c>
      <c r="D157" s="72">
        <f>SUM(H157:H158)</f>
        <v>218500</v>
      </c>
      <c r="E157" s="148">
        <f>SUM(M157:M158)</f>
        <v>218500</v>
      </c>
      <c r="F157" s="125">
        <v>51</v>
      </c>
      <c r="G157" s="126" t="s">
        <v>211</v>
      </c>
      <c r="H157" s="124">
        <v>197000</v>
      </c>
      <c r="I157" s="124">
        <v>197000</v>
      </c>
      <c r="J157" s="126" t="s">
        <v>104</v>
      </c>
      <c r="K157" s="126"/>
      <c r="L157" s="21"/>
      <c r="M157" s="48">
        <f>I157-L157</f>
        <v>197000</v>
      </c>
      <c r="N157" s="18"/>
      <c r="O157" s="18">
        <f t="shared" si="7"/>
        <v>0</v>
      </c>
    </row>
    <row r="158" spans="2:16" ht="30.75" thickBot="1" x14ac:dyDescent="0.3">
      <c r="B158" s="69"/>
      <c r="C158" s="71"/>
      <c r="D158" s="73"/>
      <c r="E158" s="164"/>
      <c r="F158" s="120">
        <v>51</v>
      </c>
      <c r="G158" s="158" t="s">
        <v>212</v>
      </c>
      <c r="H158" s="117">
        <v>21500</v>
      </c>
      <c r="I158" s="117">
        <v>21500</v>
      </c>
      <c r="J158" s="158" t="s">
        <v>104</v>
      </c>
      <c r="K158" s="158"/>
      <c r="L158" s="17"/>
      <c r="M158" s="48">
        <f>I158-L158</f>
        <v>21500</v>
      </c>
      <c r="N158" s="18"/>
      <c r="O158" s="18">
        <f t="shared" si="7"/>
        <v>0</v>
      </c>
    </row>
    <row r="159" spans="2:16" ht="15.75" thickBot="1" x14ac:dyDescent="0.3">
      <c r="B159" s="61" t="s">
        <v>46</v>
      </c>
      <c r="C159" s="55" t="s">
        <v>47</v>
      </c>
      <c r="D159" s="65">
        <f>SUM(H159:H168)</f>
        <v>4374581.68</v>
      </c>
      <c r="E159" s="153">
        <f>SUM(M159:M168)</f>
        <v>2795098.49</v>
      </c>
      <c r="F159" s="125">
        <v>53</v>
      </c>
      <c r="G159" s="126" t="s">
        <v>142</v>
      </c>
      <c r="H159" s="124">
        <v>84302.25</v>
      </c>
      <c r="I159" s="124">
        <v>84302.25</v>
      </c>
      <c r="J159" s="126" t="s">
        <v>96</v>
      </c>
      <c r="K159" s="126"/>
      <c r="L159" s="21"/>
      <c r="M159" s="48">
        <f t="shared" ref="M159:M219" si="10">I159-L159</f>
        <v>84302.25</v>
      </c>
      <c r="N159" s="18"/>
      <c r="O159" s="18">
        <f t="shared" si="7"/>
        <v>0</v>
      </c>
    </row>
    <row r="160" spans="2:16" ht="30.75" thickBot="1" x14ac:dyDescent="0.3">
      <c r="B160" s="62"/>
      <c r="C160" s="56"/>
      <c r="D160" s="66"/>
      <c r="E160" s="154"/>
      <c r="F160" s="116">
        <v>52</v>
      </c>
      <c r="G160" s="113" t="s">
        <v>213</v>
      </c>
      <c r="H160" s="112">
        <v>80000</v>
      </c>
      <c r="I160" s="112">
        <v>80000</v>
      </c>
      <c r="J160" s="113" t="s">
        <v>97</v>
      </c>
      <c r="K160" s="113" t="s">
        <v>303</v>
      </c>
      <c r="L160" s="18">
        <f>30000+50000</f>
        <v>80000</v>
      </c>
      <c r="M160" s="48">
        <f t="shared" si="10"/>
        <v>0</v>
      </c>
      <c r="N160" s="18">
        <f>25496.64+30494.9</f>
        <v>55991.54</v>
      </c>
      <c r="O160" s="18">
        <f t="shared" si="7"/>
        <v>24008.46</v>
      </c>
    </row>
    <row r="161" spans="2:16" ht="30.75" thickBot="1" x14ac:dyDescent="0.3">
      <c r="B161" s="62"/>
      <c r="C161" s="56"/>
      <c r="D161" s="66"/>
      <c r="E161" s="154"/>
      <c r="F161" s="116">
        <v>53</v>
      </c>
      <c r="G161" s="113" t="s">
        <v>216</v>
      </c>
      <c r="H161" s="112">
        <v>1100000</v>
      </c>
      <c r="I161" s="112">
        <v>1100000</v>
      </c>
      <c r="J161" s="113" t="s">
        <v>97</v>
      </c>
      <c r="K161" s="113" t="s">
        <v>304</v>
      </c>
      <c r="L161" s="18">
        <v>1100000</v>
      </c>
      <c r="M161" s="48">
        <f t="shared" si="10"/>
        <v>0</v>
      </c>
      <c r="N161" s="18">
        <v>1100000</v>
      </c>
      <c r="O161" s="18">
        <f t="shared" si="7"/>
        <v>0</v>
      </c>
    </row>
    <row r="162" spans="2:16" ht="15.75" thickBot="1" x14ac:dyDescent="0.3">
      <c r="B162" s="62"/>
      <c r="C162" s="56"/>
      <c r="D162" s="66"/>
      <c r="E162" s="154"/>
      <c r="F162" s="116">
        <v>52</v>
      </c>
      <c r="G162" s="113" t="s">
        <v>214</v>
      </c>
      <c r="H162" s="112">
        <v>100000</v>
      </c>
      <c r="I162" s="112">
        <v>100000</v>
      </c>
      <c r="J162" s="113" t="s">
        <v>98</v>
      </c>
      <c r="K162" s="113"/>
      <c r="L162" s="18"/>
      <c r="M162" s="48">
        <f t="shared" si="10"/>
        <v>100000</v>
      </c>
      <c r="N162" s="18"/>
      <c r="O162" s="18">
        <f t="shared" si="7"/>
        <v>0</v>
      </c>
    </row>
    <row r="163" spans="2:16" ht="30.75" thickBot="1" x14ac:dyDescent="0.3">
      <c r="B163" s="62"/>
      <c r="C163" s="56"/>
      <c r="D163" s="66"/>
      <c r="E163" s="154"/>
      <c r="F163" s="116">
        <v>53</v>
      </c>
      <c r="G163" s="113" t="s">
        <v>215</v>
      </c>
      <c r="H163" s="112">
        <v>1030000</v>
      </c>
      <c r="I163" s="112">
        <v>1030000</v>
      </c>
      <c r="J163" s="113" t="s">
        <v>98</v>
      </c>
      <c r="K163" s="113"/>
      <c r="L163" s="18"/>
      <c r="M163" s="48">
        <f t="shared" si="10"/>
        <v>1030000</v>
      </c>
      <c r="N163" s="18"/>
      <c r="O163" s="18">
        <f t="shared" si="7"/>
        <v>0</v>
      </c>
    </row>
    <row r="164" spans="2:16" ht="15.75" thickBot="1" x14ac:dyDescent="0.3">
      <c r="B164" s="62"/>
      <c r="C164" s="56"/>
      <c r="D164" s="66"/>
      <c r="E164" s="154"/>
      <c r="F164" s="116">
        <v>52</v>
      </c>
      <c r="G164" s="113" t="s">
        <v>217</v>
      </c>
      <c r="H164" s="112">
        <v>100000</v>
      </c>
      <c r="I164" s="112">
        <v>100000</v>
      </c>
      <c r="J164" s="113" t="s">
        <v>99</v>
      </c>
      <c r="K164" s="113"/>
      <c r="L164" s="18"/>
      <c r="M164" s="48">
        <f t="shared" si="10"/>
        <v>100000</v>
      </c>
      <c r="N164" s="18"/>
      <c r="O164" s="18">
        <f t="shared" si="7"/>
        <v>0</v>
      </c>
    </row>
    <row r="165" spans="2:16" ht="30.75" thickBot="1" x14ac:dyDescent="0.3">
      <c r="B165" s="62"/>
      <c r="C165" s="56"/>
      <c r="D165" s="66"/>
      <c r="E165" s="154"/>
      <c r="F165" s="116">
        <v>53</v>
      </c>
      <c r="G165" s="113" t="s">
        <v>218</v>
      </c>
      <c r="H165" s="112">
        <v>1030000</v>
      </c>
      <c r="I165" s="112">
        <v>1030000</v>
      </c>
      <c r="J165" s="113" t="s">
        <v>99</v>
      </c>
      <c r="K165" s="113"/>
      <c r="L165" s="18"/>
      <c r="M165" s="48">
        <f t="shared" si="10"/>
        <v>1030000</v>
      </c>
      <c r="N165" s="18"/>
      <c r="O165" s="18">
        <f t="shared" si="7"/>
        <v>0</v>
      </c>
    </row>
    <row r="166" spans="2:16" ht="60.75" thickBot="1" x14ac:dyDescent="0.3">
      <c r="B166" s="62"/>
      <c r="C166" s="56"/>
      <c r="D166" s="66"/>
      <c r="E166" s="154"/>
      <c r="F166" s="116">
        <v>52</v>
      </c>
      <c r="G166" s="113" t="s">
        <v>191</v>
      </c>
      <c r="H166" s="112">
        <v>788574.88</v>
      </c>
      <c r="I166" s="112">
        <v>788574.88</v>
      </c>
      <c r="J166" s="113" t="s">
        <v>190</v>
      </c>
      <c r="K166" s="113" t="s">
        <v>349</v>
      </c>
      <c r="L166" s="18">
        <v>337778.64</v>
      </c>
      <c r="M166" s="48">
        <f t="shared" si="10"/>
        <v>450796.24</v>
      </c>
      <c r="N166" s="18">
        <v>0</v>
      </c>
      <c r="O166" s="18">
        <f t="shared" si="7"/>
        <v>337778.64</v>
      </c>
    </row>
    <row r="167" spans="2:16" ht="15.75" thickBot="1" x14ac:dyDescent="0.3">
      <c r="B167" s="62"/>
      <c r="C167" s="56"/>
      <c r="D167" s="66"/>
      <c r="E167" s="154"/>
      <c r="F167" s="128">
        <v>53</v>
      </c>
      <c r="G167" s="128" t="s">
        <v>130</v>
      </c>
      <c r="H167" s="127">
        <v>61704.55</v>
      </c>
      <c r="I167" s="127">
        <v>61704.55</v>
      </c>
      <c r="J167" s="129" t="s">
        <v>110</v>
      </c>
      <c r="K167" s="126" t="s">
        <v>334</v>
      </c>
      <c r="L167" s="13">
        <v>61704.55</v>
      </c>
      <c r="M167" s="48">
        <f t="shared" si="10"/>
        <v>0</v>
      </c>
      <c r="N167" s="18">
        <v>46557.599999999999</v>
      </c>
      <c r="O167" s="18">
        <f t="shared" si="7"/>
        <v>15146.950000000004</v>
      </c>
      <c r="P167" s="106"/>
    </row>
    <row r="168" spans="2:16" ht="30.75" thickBot="1" x14ac:dyDescent="0.3">
      <c r="B168" s="63"/>
      <c r="C168" s="64"/>
      <c r="D168" s="67"/>
      <c r="E168" s="157"/>
      <c r="F168" s="187">
        <v>52</v>
      </c>
      <c r="G168" s="188" t="s">
        <v>311</v>
      </c>
      <c r="H168" s="189"/>
      <c r="I168" s="118">
        <v>800</v>
      </c>
      <c r="J168" s="119" t="s">
        <v>93</v>
      </c>
      <c r="K168" s="172" t="s">
        <v>312</v>
      </c>
      <c r="L168" s="42">
        <v>800</v>
      </c>
      <c r="M168" s="48">
        <f t="shared" si="10"/>
        <v>0</v>
      </c>
      <c r="N168" s="18">
        <v>0</v>
      </c>
      <c r="O168" s="18"/>
      <c r="P168" s="106" t="s">
        <v>357</v>
      </c>
    </row>
    <row r="169" spans="2:16" ht="15.75" thickBot="1" x14ac:dyDescent="0.3">
      <c r="B169" s="61" t="s">
        <v>48</v>
      </c>
      <c r="C169" s="55" t="s">
        <v>49</v>
      </c>
      <c r="D169" s="65">
        <f>SUM(H169:H177)</f>
        <v>300000</v>
      </c>
      <c r="E169" s="153">
        <f>SUM(M169:M178)</f>
        <v>120000</v>
      </c>
      <c r="F169" s="125">
        <v>54</v>
      </c>
      <c r="G169" s="190" t="s">
        <v>222</v>
      </c>
      <c r="H169" s="124">
        <v>20000</v>
      </c>
      <c r="I169" s="124">
        <v>20000</v>
      </c>
      <c r="J169" s="190" t="s">
        <v>84</v>
      </c>
      <c r="K169" s="126" t="s">
        <v>259</v>
      </c>
      <c r="L169" s="48">
        <v>20000</v>
      </c>
      <c r="M169" s="48">
        <f t="shared" si="10"/>
        <v>0</v>
      </c>
      <c r="N169" s="18">
        <v>20000</v>
      </c>
      <c r="O169" s="18">
        <f t="shared" si="7"/>
        <v>0</v>
      </c>
    </row>
    <row r="170" spans="2:16" ht="15.75" thickBot="1" x14ac:dyDescent="0.3">
      <c r="B170" s="62"/>
      <c r="C170" s="56"/>
      <c r="D170" s="66"/>
      <c r="E170" s="154"/>
      <c r="F170" s="116">
        <v>54</v>
      </c>
      <c r="G170" s="155" t="s">
        <v>223</v>
      </c>
      <c r="H170" s="112">
        <v>20000</v>
      </c>
      <c r="I170" s="112">
        <v>20000</v>
      </c>
      <c r="J170" s="113" t="s">
        <v>86</v>
      </c>
      <c r="K170" s="113" t="s">
        <v>260</v>
      </c>
      <c r="L170" s="18">
        <v>20000</v>
      </c>
      <c r="M170" s="48">
        <f t="shared" si="10"/>
        <v>0</v>
      </c>
      <c r="N170" s="18">
        <v>20000</v>
      </c>
      <c r="O170" s="18">
        <f t="shared" si="7"/>
        <v>0</v>
      </c>
    </row>
    <row r="171" spans="2:16" ht="15.75" thickBot="1" x14ac:dyDescent="0.3">
      <c r="B171" s="62"/>
      <c r="C171" s="56"/>
      <c r="D171" s="66"/>
      <c r="E171" s="154"/>
      <c r="F171" s="116"/>
      <c r="G171" s="155"/>
      <c r="H171" s="112"/>
      <c r="I171" s="112"/>
      <c r="J171" s="113"/>
      <c r="K171" s="169"/>
      <c r="L171" s="37"/>
      <c r="M171" s="48">
        <f t="shared" si="10"/>
        <v>0</v>
      </c>
      <c r="N171" s="18"/>
      <c r="O171" s="18"/>
    </row>
    <row r="172" spans="2:16" ht="15.75" thickBot="1" x14ac:dyDescent="0.3">
      <c r="B172" s="62"/>
      <c r="C172" s="56"/>
      <c r="D172" s="66"/>
      <c r="E172" s="154"/>
      <c r="F172" s="116">
        <v>54</v>
      </c>
      <c r="G172" s="113" t="s">
        <v>224</v>
      </c>
      <c r="H172" s="112">
        <v>20000</v>
      </c>
      <c r="I172" s="112">
        <v>20000</v>
      </c>
      <c r="J172" s="113" t="s">
        <v>89</v>
      </c>
      <c r="K172" s="169" t="s">
        <v>260</v>
      </c>
      <c r="L172" s="37">
        <v>20000</v>
      </c>
      <c r="M172" s="48">
        <f t="shared" si="10"/>
        <v>0</v>
      </c>
      <c r="N172" s="18">
        <v>20000</v>
      </c>
      <c r="O172" s="18">
        <f t="shared" si="7"/>
        <v>0</v>
      </c>
    </row>
    <row r="173" spans="2:16" ht="15.75" thickBot="1" x14ac:dyDescent="0.3">
      <c r="B173" s="62"/>
      <c r="C173" s="56"/>
      <c r="D173" s="66"/>
      <c r="E173" s="154"/>
      <c r="F173" s="116">
        <v>54</v>
      </c>
      <c r="G173" s="113" t="s">
        <v>225</v>
      </c>
      <c r="H173" s="112">
        <v>20000</v>
      </c>
      <c r="I173" s="112">
        <v>20000</v>
      </c>
      <c r="J173" s="113" t="s">
        <v>90</v>
      </c>
      <c r="K173" s="113"/>
      <c r="L173" s="37"/>
      <c r="M173" s="48">
        <f t="shared" si="10"/>
        <v>20000</v>
      </c>
      <c r="N173" s="18"/>
      <c r="O173" s="18">
        <f t="shared" si="7"/>
        <v>0</v>
      </c>
    </row>
    <row r="174" spans="2:16" ht="15.75" thickBot="1" x14ac:dyDescent="0.3">
      <c r="B174" s="62"/>
      <c r="C174" s="56"/>
      <c r="D174" s="66"/>
      <c r="E174" s="154"/>
      <c r="F174" s="116">
        <v>54</v>
      </c>
      <c r="G174" s="116" t="s">
        <v>226</v>
      </c>
      <c r="H174" s="112">
        <v>20000</v>
      </c>
      <c r="I174" s="112">
        <v>20000</v>
      </c>
      <c r="J174" s="116" t="s">
        <v>91</v>
      </c>
      <c r="K174" s="113" t="s">
        <v>260</v>
      </c>
      <c r="L174" s="37">
        <v>20000</v>
      </c>
      <c r="M174" s="48">
        <f t="shared" si="10"/>
        <v>0</v>
      </c>
      <c r="N174" s="18"/>
      <c r="O174" s="18">
        <f t="shared" si="7"/>
        <v>20000</v>
      </c>
    </row>
    <row r="175" spans="2:16" ht="30.75" thickBot="1" x14ac:dyDescent="0.3">
      <c r="B175" s="62"/>
      <c r="C175" s="56"/>
      <c r="D175" s="66"/>
      <c r="E175" s="154"/>
      <c r="F175" s="116">
        <v>54</v>
      </c>
      <c r="G175" s="113" t="s">
        <v>219</v>
      </c>
      <c r="H175" s="112">
        <v>100000</v>
      </c>
      <c r="I175" s="112">
        <v>100000</v>
      </c>
      <c r="J175" s="113" t="s">
        <v>97</v>
      </c>
      <c r="K175" s="113" t="s">
        <v>299</v>
      </c>
      <c r="L175" s="37">
        <f>50000+50000</f>
        <v>100000</v>
      </c>
      <c r="M175" s="48">
        <f t="shared" si="10"/>
        <v>0</v>
      </c>
      <c r="N175" s="18">
        <f>50000+49132.75</f>
        <v>99132.75</v>
      </c>
      <c r="O175" s="18">
        <f t="shared" si="7"/>
        <v>867.25</v>
      </c>
    </row>
    <row r="176" spans="2:16" ht="15.75" thickBot="1" x14ac:dyDescent="0.3">
      <c r="B176" s="62"/>
      <c r="C176" s="56"/>
      <c r="D176" s="66"/>
      <c r="E176" s="154"/>
      <c r="F176" s="116">
        <v>54</v>
      </c>
      <c r="G176" s="113" t="s">
        <v>220</v>
      </c>
      <c r="H176" s="112">
        <v>50000</v>
      </c>
      <c r="I176" s="112">
        <v>50000</v>
      </c>
      <c r="J176" s="113" t="s">
        <v>98</v>
      </c>
      <c r="K176" s="113"/>
      <c r="L176" s="37"/>
      <c r="M176" s="48">
        <f t="shared" si="10"/>
        <v>50000</v>
      </c>
      <c r="N176" s="18"/>
      <c r="O176" s="18">
        <f t="shared" si="7"/>
        <v>0</v>
      </c>
    </row>
    <row r="177" spans="2:16" ht="15.75" thickBot="1" x14ac:dyDescent="0.3">
      <c r="B177" s="62"/>
      <c r="C177" s="56"/>
      <c r="D177" s="66"/>
      <c r="E177" s="154"/>
      <c r="F177" s="116">
        <v>54</v>
      </c>
      <c r="G177" s="113" t="s">
        <v>221</v>
      </c>
      <c r="H177" s="112">
        <v>50000</v>
      </c>
      <c r="I177" s="112">
        <v>50000</v>
      </c>
      <c r="J177" s="113" t="s">
        <v>99</v>
      </c>
      <c r="K177" s="113"/>
      <c r="L177" s="37"/>
      <c r="M177" s="48">
        <f t="shared" si="10"/>
        <v>50000</v>
      </c>
      <c r="N177" s="18"/>
      <c r="O177" s="18">
        <f t="shared" si="7"/>
        <v>0</v>
      </c>
    </row>
    <row r="178" spans="2:16" ht="30.75" thickBot="1" x14ac:dyDescent="0.3">
      <c r="B178" s="63"/>
      <c r="C178" s="64"/>
      <c r="D178" s="67"/>
      <c r="E178" s="157"/>
      <c r="F178" s="128">
        <v>54</v>
      </c>
      <c r="G178" s="129" t="s">
        <v>329</v>
      </c>
      <c r="H178" s="127">
        <v>0</v>
      </c>
      <c r="I178" s="127">
        <v>30000</v>
      </c>
      <c r="J178" s="128" t="s">
        <v>89</v>
      </c>
      <c r="K178" s="129" t="s">
        <v>346</v>
      </c>
      <c r="L178" s="38">
        <v>30000</v>
      </c>
      <c r="M178" s="48">
        <f t="shared" si="10"/>
        <v>0</v>
      </c>
      <c r="N178" s="18">
        <v>0</v>
      </c>
      <c r="O178" s="18">
        <f t="shared" si="7"/>
        <v>30000</v>
      </c>
      <c r="P178" s="106" t="s">
        <v>328</v>
      </c>
    </row>
    <row r="179" spans="2:16" ht="15.75" thickBot="1" x14ac:dyDescent="0.3">
      <c r="B179" s="29" t="s">
        <v>50</v>
      </c>
      <c r="C179" s="28" t="s">
        <v>51</v>
      </c>
      <c r="D179" s="30">
        <f>H179</f>
        <v>0</v>
      </c>
      <c r="E179" s="191">
        <f>M179</f>
        <v>0</v>
      </c>
      <c r="F179" s="192"/>
      <c r="G179" s="142"/>
      <c r="H179" s="140"/>
      <c r="I179" s="140"/>
      <c r="J179" s="142"/>
      <c r="K179" s="142" t="s">
        <v>347</v>
      </c>
      <c r="L179" s="40"/>
      <c r="M179" s="48">
        <f t="shared" si="10"/>
        <v>0</v>
      </c>
      <c r="N179" s="18"/>
      <c r="O179" s="18">
        <f t="shared" si="7"/>
        <v>0</v>
      </c>
    </row>
    <row r="180" spans="2:16" ht="30.75" thickBot="1" x14ac:dyDescent="0.3">
      <c r="B180" s="61" t="s">
        <v>52</v>
      </c>
      <c r="C180" s="55" t="s">
        <v>53</v>
      </c>
      <c r="D180" s="65">
        <f>SUM(H180:H182)</f>
        <v>154548.19</v>
      </c>
      <c r="E180" s="153">
        <f>SUM(M180:M182)</f>
        <v>149129</v>
      </c>
      <c r="F180" s="125">
        <v>55</v>
      </c>
      <c r="G180" s="126" t="s">
        <v>228</v>
      </c>
      <c r="H180" s="124">
        <v>25000</v>
      </c>
      <c r="I180" s="124">
        <v>25000</v>
      </c>
      <c r="J180" s="126" t="s">
        <v>108</v>
      </c>
      <c r="K180" s="126"/>
      <c r="L180" s="48"/>
      <c r="M180" s="48">
        <f t="shared" si="10"/>
        <v>25000</v>
      </c>
      <c r="N180" s="18"/>
      <c r="O180" s="18">
        <f t="shared" si="7"/>
        <v>0</v>
      </c>
    </row>
    <row r="181" spans="2:16" ht="15.75" thickBot="1" x14ac:dyDescent="0.3">
      <c r="B181" s="62"/>
      <c r="C181" s="56"/>
      <c r="D181" s="66"/>
      <c r="E181" s="154"/>
      <c r="F181" s="116">
        <v>55</v>
      </c>
      <c r="G181" s="113" t="s">
        <v>229</v>
      </c>
      <c r="H181" s="112">
        <v>102000</v>
      </c>
      <c r="I181" s="112">
        <v>102040.81</v>
      </c>
      <c r="J181" s="113" t="s">
        <v>107</v>
      </c>
      <c r="K181" s="113"/>
      <c r="L181" s="37"/>
      <c r="M181" s="48">
        <f t="shared" si="10"/>
        <v>102040.81</v>
      </c>
      <c r="N181" s="18"/>
      <c r="O181" s="18">
        <f t="shared" si="7"/>
        <v>0</v>
      </c>
    </row>
    <row r="182" spans="2:16" ht="30.75" thickBot="1" x14ac:dyDescent="0.3">
      <c r="B182" s="63"/>
      <c r="C182" s="64"/>
      <c r="D182" s="67"/>
      <c r="E182" s="157"/>
      <c r="F182" s="128">
        <v>55</v>
      </c>
      <c r="G182" s="129" t="s">
        <v>227</v>
      </c>
      <c r="H182" s="127">
        <v>27548.19</v>
      </c>
      <c r="I182" s="127">
        <v>27548.19</v>
      </c>
      <c r="J182" s="129" t="s">
        <v>106</v>
      </c>
      <c r="K182" s="128" t="s">
        <v>340</v>
      </c>
      <c r="L182" s="13">
        <v>5460</v>
      </c>
      <c r="M182" s="48">
        <f t="shared" si="10"/>
        <v>22088.19</v>
      </c>
      <c r="N182" s="18">
        <v>5460</v>
      </c>
      <c r="O182" s="18">
        <f t="shared" si="7"/>
        <v>0</v>
      </c>
    </row>
    <row r="183" spans="2:16" ht="30.75" thickBot="1" x14ac:dyDescent="0.3">
      <c r="B183" s="61" t="s">
        <v>54</v>
      </c>
      <c r="C183" s="55" t="s">
        <v>55</v>
      </c>
      <c r="D183" s="65">
        <f>H183</f>
        <v>4500000</v>
      </c>
      <c r="E183" s="153">
        <f>M183</f>
        <v>3000000</v>
      </c>
      <c r="F183" s="125">
        <v>56</v>
      </c>
      <c r="G183" s="126" t="s">
        <v>230</v>
      </c>
      <c r="H183" s="124">
        <v>4500000</v>
      </c>
      <c r="I183" s="124">
        <v>4500000</v>
      </c>
      <c r="J183" s="125" t="s">
        <v>111</v>
      </c>
      <c r="K183" s="126" t="s">
        <v>353</v>
      </c>
      <c r="L183" s="48">
        <v>1500000</v>
      </c>
      <c r="M183" s="48">
        <f t="shared" si="10"/>
        <v>3000000</v>
      </c>
      <c r="N183" s="18">
        <v>662064.24</v>
      </c>
      <c r="O183" s="18">
        <f t="shared" si="7"/>
        <v>837935.76</v>
      </c>
    </row>
    <row r="184" spans="2:16" ht="15.75" thickBot="1" x14ac:dyDescent="0.3">
      <c r="B184" s="62"/>
      <c r="C184" s="56"/>
      <c r="D184" s="66"/>
      <c r="E184" s="154"/>
      <c r="F184" s="116"/>
      <c r="G184" s="113"/>
      <c r="H184" s="112"/>
      <c r="I184" s="112"/>
      <c r="J184" s="116"/>
      <c r="K184" s="113"/>
      <c r="L184" s="37"/>
      <c r="M184" s="48">
        <f t="shared" si="10"/>
        <v>0</v>
      </c>
      <c r="N184" s="18"/>
      <c r="O184" s="18">
        <f t="shared" si="7"/>
        <v>0</v>
      </c>
    </row>
    <row r="185" spans="2:16" ht="15.75" thickBot="1" x14ac:dyDescent="0.3">
      <c r="B185" s="62"/>
      <c r="C185" s="56"/>
      <c r="D185" s="66"/>
      <c r="E185" s="154"/>
      <c r="F185" s="116"/>
      <c r="G185" s="113"/>
      <c r="H185" s="112"/>
      <c r="I185" s="112"/>
      <c r="J185" s="116"/>
      <c r="K185" s="113"/>
      <c r="L185" s="37"/>
      <c r="M185" s="48">
        <f t="shared" si="10"/>
        <v>0</v>
      </c>
      <c r="N185" s="18"/>
      <c r="O185" s="18">
        <f t="shared" si="7"/>
        <v>0</v>
      </c>
    </row>
    <row r="186" spans="2:16" ht="15.75" thickBot="1" x14ac:dyDescent="0.3">
      <c r="B186" s="63"/>
      <c r="C186" s="64"/>
      <c r="D186" s="67"/>
      <c r="E186" s="157"/>
      <c r="F186" s="128"/>
      <c r="G186" s="128"/>
      <c r="H186" s="127"/>
      <c r="I186" s="127"/>
      <c r="J186" s="128"/>
      <c r="K186" s="128"/>
      <c r="L186" s="13"/>
      <c r="M186" s="48">
        <f t="shared" si="10"/>
        <v>0</v>
      </c>
      <c r="N186" s="18"/>
      <c r="O186" s="18">
        <f t="shared" si="7"/>
        <v>0</v>
      </c>
    </row>
    <row r="187" spans="2:16" ht="15.75" thickBot="1" x14ac:dyDescent="0.3">
      <c r="B187" s="61" t="s">
        <v>56</v>
      </c>
      <c r="C187" s="55" t="s">
        <v>57</v>
      </c>
      <c r="D187" s="65">
        <f>SUM(H187:H192)</f>
        <v>782081.74999999988</v>
      </c>
      <c r="E187" s="153">
        <f>SUM(M187:M192)</f>
        <v>701127.66999999993</v>
      </c>
      <c r="F187" s="125">
        <v>57</v>
      </c>
      <c r="G187" s="125" t="s">
        <v>231</v>
      </c>
      <c r="H187" s="124">
        <v>296832.28000000003</v>
      </c>
      <c r="I187" s="124">
        <v>296832.28000000003</v>
      </c>
      <c r="J187" s="125" t="s">
        <v>94</v>
      </c>
      <c r="K187" s="126"/>
      <c r="L187" s="48"/>
      <c r="M187" s="48">
        <f t="shared" si="10"/>
        <v>296832.28000000003</v>
      </c>
      <c r="N187" s="18"/>
      <c r="O187" s="18">
        <f t="shared" si="7"/>
        <v>0</v>
      </c>
    </row>
    <row r="188" spans="2:16" ht="15.75" thickBot="1" x14ac:dyDescent="0.3">
      <c r="B188" s="62"/>
      <c r="C188" s="56"/>
      <c r="D188" s="66"/>
      <c r="E188" s="154"/>
      <c r="F188" s="116">
        <v>57</v>
      </c>
      <c r="G188" s="113" t="s">
        <v>95</v>
      </c>
      <c r="H188" s="112">
        <v>174719.51</v>
      </c>
      <c r="I188" s="112">
        <v>174719.51</v>
      </c>
      <c r="J188" s="113" t="s">
        <v>95</v>
      </c>
      <c r="K188" s="113"/>
      <c r="L188" s="37"/>
      <c r="M188" s="48">
        <f t="shared" si="10"/>
        <v>174719.51</v>
      </c>
      <c r="N188" s="18"/>
      <c r="O188" s="18">
        <f t="shared" si="7"/>
        <v>0</v>
      </c>
    </row>
    <row r="189" spans="2:16" ht="45.75" thickBot="1" x14ac:dyDescent="0.3">
      <c r="B189" s="62"/>
      <c r="C189" s="56"/>
      <c r="D189" s="66"/>
      <c r="E189" s="154"/>
      <c r="F189" s="116">
        <v>57</v>
      </c>
      <c r="G189" s="113" t="s">
        <v>232</v>
      </c>
      <c r="H189" s="112">
        <v>80954.080000000002</v>
      </c>
      <c r="I189" s="112">
        <v>0</v>
      </c>
      <c r="J189" s="113" t="s">
        <v>97</v>
      </c>
      <c r="K189" s="113"/>
      <c r="L189" s="37"/>
      <c r="M189" s="48">
        <f>I189-L189</f>
        <v>0</v>
      </c>
      <c r="N189" s="18"/>
      <c r="O189" s="18">
        <f t="shared" si="7"/>
        <v>0</v>
      </c>
      <c r="P189" s="106" t="s">
        <v>307</v>
      </c>
    </row>
    <row r="190" spans="2:16" ht="30.75" thickBot="1" x14ac:dyDescent="0.3">
      <c r="B190" s="62"/>
      <c r="C190" s="56"/>
      <c r="D190" s="66"/>
      <c r="E190" s="154"/>
      <c r="F190" s="116">
        <v>57</v>
      </c>
      <c r="G190" s="113" t="s">
        <v>233</v>
      </c>
      <c r="H190" s="112">
        <v>95954.08</v>
      </c>
      <c r="I190" s="112">
        <v>95954.08</v>
      </c>
      <c r="J190" s="113" t="s">
        <v>98</v>
      </c>
      <c r="K190" s="113"/>
      <c r="L190" s="37"/>
      <c r="M190" s="48">
        <f t="shared" si="10"/>
        <v>95954.08</v>
      </c>
      <c r="N190" s="18"/>
      <c r="O190" s="18">
        <f t="shared" si="7"/>
        <v>0</v>
      </c>
    </row>
    <row r="191" spans="2:16" ht="30.75" thickBot="1" x14ac:dyDescent="0.3">
      <c r="B191" s="62"/>
      <c r="C191" s="56"/>
      <c r="D191" s="66"/>
      <c r="E191" s="154"/>
      <c r="F191" s="116">
        <v>57</v>
      </c>
      <c r="G191" s="113" t="s">
        <v>234</v>
      </c>
      <c r="H191" s="112">
        <v>95954.08</v>
      </c>
      <c r="I191" s="112">
        <v>95954.08</v>
      </c>
      <c r="J191" s="113" t="s">
        <v>99</v>
      </c>
      <c r="K191" s="113"/>
      <c r="L191" s="37"/>
      <c r="M191" s="48">
        <f t="shared" si="10"/>
        <v>95954.08</v>
      </c>
      <c r="N191" s="18"/>
      <c r="O191" s="18">
        <f t="shared" si="7"/>
        <v>0</v>
      </c>
    </row>
    <row r="192" spans="2:16" ht="15.75" thickBot="1" x14ac:dyDescent="0.3">
      <c r="B192" s="63"/>
      <c r="C192" s="64"/>
      <c r="D192" s="67"/>
      <c r="E192" s="157"/>
      <c r="F192" s="128">
        <v>57</v>
      </c>
      <c r="G192" s="171" t="s">
        <v>235</v>
      </c>
      <c r="H192" s="127">
        <v>37667.72</v>
      </c>
      <c r="I192" s="127">
        <v>37667.72</v>
      </c>
      <c r="J192" s="171" t="s">
        <v>85</v>
      </c>
      <c r="K192" s="129"/>
      <c r="L192" s="38"/>
      <c r="M192" s="48">
        <f t="shared" si="10"/>
        <v>37667.72</v>
      </c>
      <c r="N192" s="18"/>
      <c r="O192" s="18">
        <f t="shared" si="7"/>
        <v>0</v>
      </c>
    </row>
    <row r="193" spans="2:16" ht="15.75" thickBot="1" x14ac:dyDescent="0.3">
      <c r="B193" s="29" t="s">
        <v>58</v>
      </c>
      <c r="C193" s="28" t="s">
        <v>59</v>
      </c>
      <c r="D193" s="30">
        <f>H193</f>
        <v>0</v>
      </c>
      <c r="E193" s="191">
        <f>M193</f>
        <v>0</v>
      </c>
      <c r="F193" s="192"/>
      <c r="G193" s="142"/>
      <c r="H193" s="140"/>
      <c r="I193" s="140"/>
      <c r="J193" s="192"/>
      <c r="K193" s="142"/>
      <c r="L193" s="40"/>
      <c r="M193" s="48">
        <f t="shared" si="10"/>
        <v>0</v>
      </c>
      <c r="N193" s="18"/>
      <c r="O193" s="18">
        <f t="shared" si="7"/>
        <v>0</v>
      </c>
    </row>
    <row r="194" spans="2:16" ht="15.75" thickBot="1" x14ac:dyDescent="0.3">
      <c r="B194" s="29" t="s">
        <v>60</v>
      </c>
      <c r="C194" s="28" t="s">
        <v>61</v>
      </c>
      <c r="D194" s="30">
        <f>H194</f>
        <v>0</v>
      </c>
      <c r="E194" s="30">
        <f>M194</f>
        <v>0</v>
      </c>
      <c r="F194" s="26"/>
      <c r="G194" s="53"/>
      <c r="H194" s="27"/>
      <c r="I194" s="40"/>
      <c r="J194" s="53"/>
      <c r="K194" s="28"/>
      <c r="L194" s="40"/>
      <c r="M194" s="48">
        <f t="shared" si="10"/>
        <v>0</v>
      </c>
      <c r="N194" s="18"/>
      <c r="O194" s="18">
        <f t="shared" si="7"/>
        <v>0</v>
      </c>
    </row>
    <row r="195" spans="2:16" ht="15.75" thickBot="1" x14ac:dyDescent="0.3">
      <c r="B195" s="61" t="s">
        <v>62</v>
      </c>
      <c r="C195" s="55" t="s">
        <v>63</v>
      </c>
      <c r="D195" s="65">
        <f>SUM(H195:H212)</f>
        <v>14589555.489999998</v>
      </c>
      <c r="E195" s="65">
        <f>SUM(M195:M212)</f>
        <v>10015509.569999998</v>
      </c>
      <c r="F195" s="9">
        <v>59</v>
      </c>
      <c r="G195" s="11" t="s">
        <v>239</v>
      </c>
      <c r="H195" s="21">
        <v>31972.5</v>
      </c>
      <c r="I195" s="21">
        <v>31972.5</v>
      </c>
      <c r="J195" s="11" t="s">
        <v>89</v>
      </c>
      <c r="K195" s="11"/>
      <c r="L195" s="48"/>
      <c r="M195" s="48">
        <f t="shared" si="10"/>
        <v>31972.5</v>
      </c>
      <c r="N195" s="18"/>
      <c r="O195" s="18">
        <f t="shared" si="7"/>
        <v>0</v>
      </c>
    </row>
    <row r="196" spans="2:16" ht="15.75" thickBot="1" x14ac:dyDescent="0.3">
      <c r="B196" s="90"/>
      <c r="C196" s="56"/>
      <c r="D196" s="66"/>
      <c r="E196" s="66"/>
      <c r="F196" s="4">
        <v>59</v>
      </c>
      <c r="G196" s="5" t="s">
        <v>240</v>
      </c>
      <c r="H196" s="22">
        <v>112600.68</v>
      </c>
      <c r="I196" s="22">
        <v>112600.68</v>
      </c>
      <c r="J196" s="5" t="s">
        <v>89</v>
      </c>
      <c r="K196" s="5"/>
      <c r="L196" s="41"/>
      <c r="M196" s="48">
        <f t="shared" si="10"/>
        <v>112600.68</v>
      </c>
      <c r="N196" s="18"/>
      <c r="O196" s="18">
        <f t="shared" si="7"/>
        <v>0</v>
      </c>
    </row>
    <row r="197" spans="2:16" ht="15.75" thickBot="1" x14ac:dyDescent="0.3">
      <c r="B197" s="90"/>
      <c r="C197" s="56"/>
      <c r="D197" s="66"/>
      <c r="E197" s="66"/>
      <c r="F197" s="2">
        <v>59</v>
      </c>
      <c r="G197" s="6" t="s">
        <v>241</v>
      </c>
      <c r="H197" s="112">
        <v>73804.679999999993</v>
      </c>
      <c r="I197" s="112">
        <v>73804.679999999993</v>
      </c>
      <c r="J197" s="113" t="s">
        <v>90</v>
      </c>
      <c r="K197" s="113"/>
      <c r="L197" s="114"/>
      <c r="M197" s="115">
        <f t="shared" si="10"/>
        <v>73804.679999999993</v>
      </c>
      <c r="N197" s="112"/>
      <c r="O197" s="18">
        <f t="shared" si="7"/>
        <v>0</v>
      </c>
    </row>
    <row r="198" spans="2:16" ht="15.75" thickBot="1" x14ac:dyDescent="0.3">
      <c r="B198" s="90"/>
      <c r="C198" s="56"/>
      <c r="D198" s="66"/>
      <c r="E198" s="66"/>
      <c r="F198" s="2">
        <v>59</v>
      </c>
      <c r="G198" s="6" t="s">
        <v>242</v>
      </c>
      <c r="H198" s="112">
        <v>161680.21</v>
      </c>
      <c r="I198" s="112">
        <v>161680.21</v>
      </c>
      <c r="J198" s="113" t="s">
        <v>90</v>
      </c>
      <c r="K198" s="113"/>
      <c r="L198" s="114"/>
      <c r="M198" s="115">
        <f t="shared" si="10"/>
        <v>161680.21</v>
      </c>
      <c r="N198" s="112"/>
      <c r="O198" s="18">
        <f t="shared" si="7"/>
        <v>0</v>
      </c>
    </row>
    <row r="199" spans="2:16" ht="15.75" thickBot="1" x14ac:dyDescent="0.3">
      <c r="B199" s="90"/>
      <c r="C199" s="56"/>
      <c r="D199" s="66"/>
      <c r="E199" s="66"/>
      <c r="F199" s="2">
        <v>59</v>
      </c>
      <c r="G199" s="2" t="s">
        <v>243</v>
      </c>
      <c r="H199" s="112">
        <v>161680.21</v>
      </c>
      <c r="I199" s="112">
        <v>161680.21</v>
      </c>
      <c r="J199" s="116" t="s">
        <v>91</v>
      </c>
      <c r="K199" s="113"/>
      <c r="L199" s="114"/>
      <c r="M199" s="115">
        <f t="shared" si="10"/>
        <v>161680.21</v>
      </c>
      <c r="N199" s="112"/>
      <c r="O199" s="18">
        <f t="shared" si="7"/>
        <v>0</v>
      </c>
    </row>
    <row r="200" spans="2:16" ht="15.75" thickBot="1" x14ac:dyDescent="0.3">
      <c r="B200" s="90"/>
      <c r="C200" s="56"/>
      <c r="D200" s="66"/>
      <c r="E200" s="66"/>
      <c r="F200" s="2">
        <v>59</v>
      </c>
      <c r="G200" s="2" t="s">
        <v>244</v>
      </c>
      <c r="H200" s="112">
        <v>73804.679999999993</v>
      </c>
      <c r="I200" s="112">
        <v>73804.679999999993</v>
      </c>
      <c r="J200" s="116" t="s">
        <v>91</v>
      </c>
      <c r="K200" s="113"/>
      <c r="L200" s="114"/>
      <c r="M200" s="115">
        <f t="shared" si="10"/>
        <v>73804.679999999993</v>
      </c>
      <c r="N200" s="112"/>
      <c r="O200" s="18">
        <f t="shared" si="7"/>
        <v>0</v>
      </c>
    </row>
    <row r="201" spans="2:16" ht="15.75" thickBot="1" x14ac:dyDescent="0.3">
      <c r="B201" s="90"/>
      <c r="C201" s="56"/>
      <c r="D201" s="66"/>
      <c r="E201" s="66"/>
      <c r="F201" s="2">
        <v>59</v>
      </c>
      <c r="G201" s="2" t="s">
        <v>128</v>
      </c>
      <c r="H201" s="112">
        <v>29329.67</v>
      </c>
      <c r="I201" s="112">
        <v>29329.67</v>
      </c>
      <c r="J201" s="116" t="s">
        <v>94</v>
      </c>
      <c r="K201" s="113"/>
      <c r="L201" s="114"/>
      <c r="M201" s="115">
        <f t="shared" si="10"/>
        <v>29329.67</v>
      </c>
      <c r="N201" s="112"/>
      <c r="O201" s="18">
        <f t="shared" si="7"/>
        <v>0</v>
      </c>
    </row>
    <row r="202" spans="2:16" ht="15.75" thickBot="1" x14ac:dyDescent="0.3">
      <c r="B202" s="90"/>
      <c r="C202" s="56"/>
      <c r="D202" s="66"/>
      <c r="E202" s="66"/>
      <c r="F202" s="2">
        <v>59</v>
      </c>
      <c r="G202" s="6" t="s">
        <v>127</v>
      </c>
      <c r="H202" s="112">
        <v>280954.08</v>
      </c>
      <c r="I202" s="112">
        <v>280954.08</v>
      </c>
      <c r="J202" s="113" t="s">
        <v>95</v>
      </c>
      <c r="K202" s="113"/>
      <c r="L202" s="114"/>
      <c r="M202" s="115">
        <f t="shared" si="10"/>
        <v>280954.08</v>
      </c>
      <c r="N202" s="112"/>
      <c r="O202" s="18">
        <f t="shared" si="7"/>
        <v>0</v>
      </c>
    </row>
    <row r="203" spans="2:16" ht="75.75" thickBot="1" x14ac:dyDescent="0.3">
      <c r="B203" s="90"/>
      <c r="C203" s="56"/>
      <c r="D203" s="66"/>
      <c r="E203" s="66"/>
      <c r="F203" s="2">
        <v>58</v>
      </c>
      <c r="G203" s="6" t="s">
        <v>238</v>
      </c>
      <c r="H203" s="112">
        <v>3370000</v>
      </c>
      <c r="I203" s="112">
        <v>3461500</v>
      </c>
      <c r="J203" s="113" t="s">
        <v>97</v>
      </c>
      <c r="K203" s="113" t="s">
        <v>305</v>
      </c>
      <c r="L203" s="114">
        <f>1000000+2000000+350000+111500</f>
        <v>3461500</v>
      </c>
      <c r="M203" s="115">
        <f>I203-L203</f>
        <v>0</v>
      </c>
      <c r="N203" s="112">
        <f>1000000+2000000+350000+55536.41</f>
        <v>3405536.41</v>
      </c>
      <c r="O203" s="18">
        <f t="shared" si="7"/>
        <v>55963.589999999851</v>
      </c>
      <c r="P203" s="106" t="s">
        <v>306</v>
      </c>
    </row>
    <row r="204" spans="2:16" ht="30.75" thickBot="1" x14ac:dyDescent="0.3">
      <c r="B204" s="90"/>
      <c r="C204" s="56"/>
      <c r="D204" s="66"/>
      <c r="E204" s="66"/>
      <c r="F204" s="2">
        <v>59</v>
      </c>
      <c r="G204" s="6" t="s">
        <v>266</v>
      </c>
      <c r="H204" s="112">
        <v>450000</v>
      </c>
      <c r="I204" s="112">
        <v>449992.67</v>
      </c>
      <c r="J204" s="113" t="s">
        <v>97</v>
      </c>
      <c r="K204" s="113" t="s">
        <v>296</v>
      </c>
      <c r="L204" s="114">
        <v>449992.67</v>
      </c>
      <c r="M204" s="115">
        <f t="shared" si="10"/>
        <v>0</v>
      </c>
      <c r="N204" s="112">
        <v>364859.11</v>
      </c>
      <c r="O204" s="18">
        <f t="shared" ref="O204:O242" si="11">L204-N204</f>
        <v>85133.56</v>
      </c>
      <c r="P204" s="106"/>
    </row>
    <row r="205" spans="2:16" ht="75.75" thickBot="1" x14ac:dyDescent="0.3">
      <c r="B205" s="90"/>
      <c r="C205" s="56"/>
      <c r="D205" s="66"/>
      <c r="E205" s="66"/>
      <c r="F205" s="2">
        <v>59</v>
      </c>
      <c r="G205" s="6" t="s">
        <v>245</v>
      </c>
      <c r="H205" s="112">
        <v>754045.92</v>
      </c>
      <c r="I205" s="112">
        <v>754045.92</v>
      </c>
      <c r="J205" s="113" t="s">
        <v>97</v>
      </c>
      <c r="K205" s="113" t="s">
        <v>295</v>
      </c>
      <c r="L205" s="114">
        <f>235000+100000+219045.92+200000</f>
        <v>754045.92</v>
      </c>
      <c r="M205" s="115">
        <f t="shared" si="10"/>
        <v>0</v>
      </c>
      <c r="N205" s="112">
        <f>208631.95+200000</f>
        <v>408631.95</v>
      </c>
      <c r="O205" s="18">
        <f t="shared" si="11"/>
        <v>345413.97000000003</v>
      </c>
    </row>
    <row r="206" spans="2:16" ht="30.75" thickBot="1" x14ac:dyDescent="0.3">
      <c r="B206" s="90"/>
      <c r="C206" s="56"/>
      <c r="D206" s="66"/>
      <c r="E206" s="66"/>
      <c r="F206" s="2">
        <v>58</v>
      </c>
      <c r="G206" s="6" t="s">
        <v>237</v>
      </c>
      <c r="H206" s="112">
        <v>3470000</v>
      </c>
      <c r="I206" s="112">
        <v>3470000</v>
      </c>
      <c r="J206" s="113" t="s">
        <v>98</v>
      </c>
      <c r="K206" s="113"/>
      <c r="L206" s="114"/>
      <c r="M206" s="115">
        <f t="shared" si="10"/>
        <v>3470000</v>
      </c>
      <c r="N206" s="112"/>
      <c r="O206" s="18">
        <f t="shared" si="11"/>
        <v>0</v>
      </c>
    </row>
    <row r="207" spans="2:16" ht="15.75" thickBot="1" x14ac:dyDescent="0.3">
      <c r="B207" s="90"/>
      <c r="C207" s="56"/>
      <c r="D207" s="66"/>
      <c r="E207" s="66"/>
      <c r="F207" s="2">
        <v>59</v>
      </c>
      <c r="G207" s="6" t="s">
        <v>246</v>
      </c>
      <c r="H207" s="112">
        <v>519045.92</v>
      </c>
      <c r="I207" s="112">
        <v>519045.92</v>
      </c>
      <c r="J207" s="113" t="s">
        <v>98</v>
      </c>
      <c r="K207" s="113"/>
      <c r="L207" s="114"/>
      <c r="M207" s="115">
        <f t="shared" si="10"/>
        <v>519045.92</v>
      </c>
      <c r="N207" s="112"/>
      <c r="O207" s="18">
        <f t="shared" si="11"/>
        <v>0</v>
      </c>
    </row>
    <row r="208" spans="2:16" ht="30.75" thickBot="1" x14ac:dyDescent="0.3">
      <c r="B208" s="90"/>
      <c r="C208" s="56"/>
      <c r="D208" s="66"/>
      <c r="E208" s="66"/>
      <c r="F208" s="2">
        <v>59</v>
      </c>
      <c r="G208" s="6" t="s">
        <v>267</v>
      </c>
      <c r="H208" s="112">
        <v>450000</v>
      </c>
      <c r="I208" s="112">
        <v>450000</v>
      </c>
      <c r="J208" s="113" t="s">
        <v>98</v>
      </c>
      <c r="K208" s="113"/>
      <c r="L208" s="114"/>
      <c r="M208" s="115">
        <f t="shared" si="10"/>
        <v>450000</v>
      </c>
      <c r="N208" s="112"/>
      <c r="O208" s="18">
        <f t="shared" si="11"/>
        <v>0</v>
      </c>
    </row>
    <row r="209" spans="2:16" ht="30.75" thickBot="1" x14ac:dyDescent="0.3">
      <c r="B209" s="90"/>
      <c r="C209" s="56"/>
      <c r="D209" s="66"/>
      <c r="E209" s="66"/>
      <c r="F209" s="2">
        <v>58</v>
      </c>
      <c r="G209" s="6" t="s">
        <v>236</v>
      </c>
      <c r="H209" s="112">
        <v>3500000</v>
      </c>
      <c r="I209" s="112">
        <v>3500000</v>
      </c>
      <c r="J209" s="113" t="s">
        <v>99</v>
      </c>
      <c r="K209" s="113"/>
      <c r="L209" s="114"/>
      <c r="M209" s="115">
        <f t="shared" si="10"/>
        <v>3500000</v>
      </c>
      <c r="N209" s="112"/>
      <c r="O209" s="18">
        <f t="shared" si="11"/>
        <v>0</v>
      </c>
    </row>
    <row r="210" spans="2:16" ht="15.75" thickBot="1" x14ac:dyDescent="0.3">
      <c r="B210" s="90"/>
      <c r="C210" s="56"/>
      <c r="D210" s="66"/>
      <c r="E210" s="66"/>
      <c r="F210" s="2">
        <v>59</v>
      </c>
      <c r="G210" s="6" t="s">
        <v>247</v>
      </c>
      <c r="H210" s="112">
        <v>519045.92</v>
      </c>
      <c r="I210" s="112">
        <v>519045.92</v>
      </c>
      <c r="J210" s="113" t="s">
        <v>99</v>
      </c>
      <c r="K210" s="113"/>
      <c r="L210" s="114"/>
      <c r="M210" s="115">
        <f t="shared" si="10"/>
        <v>519045.92</v>
      </c>
      <c r="N210" s="112"/>
      <c r="O210" s="18">
        <f t="shared" si="11"/>
        <v>0</v>
      </c>
    </row>
    <row r="211" spans="2:16" ht="30.75" thickBot="1" x14ac:dyDescent="0.3">
      <c r="B211" s="90"/>
      <c r="C211" s="56"/>
      <c r="D211" s="66"/>
      <c r="E211" s="66"/>
      <c r="F211" s="2">
        <v>59</v>
      </c>
      <c r="G211" s="6" t="s">
        <v>268</v>
      </c>
      <c r="H211" s="112">
        <v>450000</v>
      </c>
      <c r="I211" s="112">
        <v>450000</v>
      </c>
      <c r="J211" s="113" t="s">
        <v>99</v>
      </c>
      <c r="K211" s="113"/>
      <c r="L211" s="114"/>
      <c r="M211" s="115">
        <f t="shared" si="10"/>
        <v>450000</v>
      </c>
      <c r="N211" s="112"/>
      <c r="O211" s="18">
        <f t="shared" si="11"/>
        <v>0</v>
      </c>
    </row>
    <row r="212" spans="2:16" ht="15.75" thickBot="1" x14ac:dyDescent="0.3">
      <c r="B212" s="90"/>
      <c r="C212" s="56"/>
      <c r="D212" s="66"/>
      <c r="E212" s="66"/>
      <c r="F212" s="3">
        <v>58</v>
      </c>
      <c r="G212" s="3" t="s">
        <v>170</v>
      </c>
      <c r="H212" s="117">
        <v>181591.02</v>
      </c>
      <c r="I212" s="118">
        <v>181591.02</v>
      </c>
      <c r="J212" s="119" t="s">
        <v>86</v>
      </c>
      <c r="K212" s="120"/>
      <c r="L212" s="117"/>
      <c r="M212" s="115">
        <f t="shared" si="10"/>
        <v>181591.02</v>
      </c>
      <c r="N212" s="112"/>
      <c r="O212" s="18">
        <f t="shared" si="11"/>
        <v>0</v>
      </c>
    </row>
    <row r="213" spans="2:16" ht="30.75" thickBot="1" x14ac:dyDescent="0.3">
      <c r="B213" s="7" t="s">
        <v>64</v>
      </c>
      <c r="C213" s="8" t="s">
        <v>65</v>
      </c>
      <c r="D213" s="25">
        <f>H213</f>
        <v>4330</v>
      </c>
      <c r="E213" s="25">
        <f>M213</f>
        <v>0</v>
      </c>
      <c r="F213" s="15">
        <v>60</v>
      </c>
      <c r="G213" s="8" t="s">
        <v>248</v>
      </c>
      <c r="H213" s="121">
        <v>4330</v>
      </c>
      <c r="I213" s="121">
        <f>H213+450</f>
        <v>4780</v>
      </c>
      <c r="J213" s="122" t="s">
        <v>116</v>
      </c>
      <c r="K213" s="123" t="s">
        <v>336</v>
      </c>
      <c r="L213" s="121">
        <f>3330+1450</f>
        <v>4780</v>
      </c>
      <c r="M213" s="115">
        <f t="shared" si="10"/>
        <v>0</v>
      </c>
      <c r="N213" s="112">
        <f>3330+1450-40</f>
        <v>4740</v>
      </c>
      <c r="O213" s="18">
        <f t="shared" si="11"/>
        <v>40</v>
      </c>
    </row>
    <row r="214" spans="2:16" ht="195.75" thickBot="1" x14ac:dyDescent="0.3">
      <c r="B214" s="61" t="s">
        <v>66</v>
      </c>
      <c r="C214" s="55" t="s">
        <v>67</v>
      </c>
      <c r="D214" s="65">
        <f>SUM(H214:H215)</f>
        <v>2350323</v>
      </c>
      <c r="E214" s="65">
        <f>SUM(M214:M215)</f>
        <v>1430000</v>
      </c>
      <c r="F214" s="9">
        <v>61</v>
      </c>
      <c r="G214" s="11" t="s">
        <v>249</v>
      </c>
      <c r="H214" s="124">
        <v>920323</v>
      </c>
      <c r="I214" s="124">
        <f>H214-95478-176863.25-102981.75</f>
        <v>545000</v>
      </c>
      <c r="J214" s="125" t="s">
        <v>337</v>
      </c>
      <c r="K214" s="126" t="s">
        <v>354</v>
      </c>
      <c r="L214" s="124">
        <f>90000+180000+120000+15000+80000+60000</f>
        <v>545000</v>
      </c>
      <c r="M214" s="115">
        <f t="shared" si="10"/>
        <v>0</v>
      </c>
      <c r="N214" s="112">
        <f>6719.01+6860.79</f>
        <v>13579.8</v>
      </c>
      <c r="O214" s="18">
        <f t="shared" si="11"/>
        <v>531420.19999999995</v>
      </c>
      <c r="P214" s="106"/>
    </row>
    <row r="215" spans="2:16" ht="45.75" thickBot="1" x14ac:dyDescent="0.3">
      <c r="B215" s="62"/>
      <c r="C215" s="56"/>
      <c r="D215" s="66"/>
      <c r="E215" s="66"/>
      <c r="F215" s="2">
        <v>62</v>
      </c>
      <c r="G215" s="6" t="s">
        <v>250</v>
      </c>
      <c r="H215" s="112">
        <v>1430000</v>
      </c>
      <c r="I215" s="112">
        <v>1430000</v>
      </c>
      <c r="J215" s="113" t="s">
        <v>100</v>
      </c>
      <c r="K215" s="116"/>
      <c r="L215" s="112"/>
      <c r="M215" s="115">
        <f t="shared" si="10"/>
        <v>1430000</v>
      </c>
      <c r="N215" s="112"/>
      <c r="O215" s="18">
        <f t="shared" si="11"/>
        <v>0</v>
      </c>
    </row>
    <row r="216" spans="2:16" ht="15.75" thickBot="1" x14ac:dyDescent="0.3">
      <c r="B216" s="62"/>
      <c r="C216" s="56"/>
      <c r="D216" s="66"/>
      <c r="E216" s="66"/>
      <c r="F216" s="2"/>
      <c r="G216" s="6"/>
      <c r="H216" s="112"/>
      <c r="I216" s="112"/>
      <c r="J216" s="116"/>
      <c r="K216" s="113"/>
      <c r="L216" s="112"/>
      <c r="M216" s="115">
        <f t="shared" si="10"/>
        <v>0</v>
      </c>
      <c r="N216" s="112"/>
      <c r="O216" s="18">
        <f t="shared" si="11"/>
        <v>0</v>
      </c>
    </row>
    <row r="217" spans="2:16" ht="15.75" thickBot="1" x14ac:dyDescent="0.3">
      <c r="B217" s="63"/>
      <c r="C217" s="64"/>
      <c r="D217" s="67"/>
      <c r="E217" s="67"/>
      <c r="F217" s="10"/>
      <c r="G217" s="10"/>
      <c r="H217" s="127"/>
      <c r="I217" s="127"/>
      <c r="J217" s="128"/>
      <c r="K217" s="128"/>
      <c r="L217" s="127"/>
      <c r="M217" s="115">
        <f t="shared" si="10"/>
        <v>0</v>
      </c>
      <c r="N217" s="112"/>
      <c r="O217" s="18">
        <f t="shared" si="11"/>
        <v>0</v>
      </c>
    </row>
    <row r="218" spans="2:16" ht="15.75" thickBot="1" x14ac:dyDescent="0.3">
      <c r="B218" s="61" t="s">
        <v>68</v>
      </c>
      <c r="C218" s="55" t="s">
        <v>69</v>
      </c>
      <c r="D218" s="65">
        <f>SUM(H218:H219)</f>
        <v>1464601.32</v>
      </c>
      <c r="E218" s="65">
        <f>SUM(M218:M219)</f>
        <v>1200000</v>
      </c>
      <c r="F218" s="9">
        <v>63</v>
      </c>
      <c r="G218" s="9" t="s">
        <v>251</v>
      </c>
      <c r="H218" s="124">
        <v>264601.32</v>
      </c>
      <c r="I218" s="124">
        <v>264601.32</v>
      </c>
      <c r="J218" s="125" t="s">
        <v>103</v>
      </c>
      <c r="K218" s="126" t="s">
        <v>344</v>
      </c>
      <c r="L218" s="115">
        <v>264601.32</v>
      </c>
      <c r="M218" s="115">
        <f t="shared" si="10"/>
        <v>0</v>
      </c>
      <c r="N218" s="112">
        <v>0</v>
      </c>
      <c r="O218" s="18">
        <f t="shared" si="11"/>
        <v>264601.32</v>
      </c>
    </row>
    <row r="219" spans="2:16" ht="15.75" thickBot="1" x14ac:dyDescent="0.3">
      <c r="B219" s="63"/>
      <c r="C219" s="64"/>
      <c r="D219" s="67"/>
      <c r="E219" s="67"/>
      <c r="F219" s="10">
        <v>64</v>
      </c>
      <c r="G219" s="10" t="s">
        <v>252</v>
      </c>
      <c r="H219" s="127">
        <v>1200000</v>
      </c>
      <c r="I219" s="127">
        <v>1200000</v>
      </c>
      <c r="J219" s="128" t="s">
        <v>118</v>
      </c>
      <c r="K219" s="129"/>
      <c r="L219" s="130"/>
      <c r="M219" s="115">
        <f t="shared" si="10"/>
        <v>1200000</v>
      </c>
      <c r="N219" s="112"/>
      <c r="O219" s="18">
        <f t="shared" si="11"/>
        <v>0</v>
      </c>
    </row>
    <row r="220" spans="2:16" x14ac:dyDescent="0.25">
      <c r="B220" s="61" t="s">
        <v>70</v>
      </c>
      <c r="C220" s="55" t="s">
        <v>71</v>
      </c>
      <c r="D220" s="65">
        <f>H223</f>
        <v>0</v>
      </c>
      <c r="E220" s="65">
        <f>M223</f>
        <v>0</v>
      </c>
      <c r="F220" s="59"/>
      <c r="G220" s="44"/>
      <c r="H220" s="131"/>
      <c r="I220" s="131"/>
      <c r="J220" s="132"/>
      <c r="K220" s="133"/>
      <c r="L220" s="131"/>
      <c r="M220" s="134">
        <f>I220-L220</f>
        <v>0</v>
      </c>
      <c r="N220" s="112"/>
      <c r="O220" s="18">
        <f t="shared" si="11"/>
        <v>0</v>
      </c>
    </row>
    <row r="221" spans="2:16" x14ac:dyDescent="0.25">
      <c r="B221" s="62"/>
      <c r="C221" s="56"/>
      <c r="D221" s="66"/>
      <c r="E221" s="66"/>
      <c r="F221" s="60"/>
      <c r="G221" s="43"/>
      <c r="H221" s="135"/>
      <c r="I221" s="135"/>
      <c r="J221" s="136"/>
      <c r="K221" s="137"/>
      <c r="L221" s="135"/>
      <c r="M221" s="138"/>
      <c r="N221" s="112"/>
      <c r="O221" s="18">
        <f t="shared" si="11"/>
        <v>0</v>
      </c>
    </row>
    <row r="222" spans="2:16" x14ac:dyDescent="0.25">
      <c r="B222" s="62"/>
      <c r="C222" s="56"/>
      <c r="D222" s="66"/>
      <c r="E222" s="66"/>
      <c r="F222" s="60"/>
      <c r="G222" s="43"/>
      <c r="H222" s="135"/>
      <c r="I222" s="135"/>
      <c r="J222" s="136"/>
      <c r="K222" s="137"/>
      <c r="L222" s="135"/>
      <c r="M222" s="138"/>
      <c r="N222" s="112"/>
      <c r="O222" s="18">
        <f t="shared" si="11"/>
        <v>0</v>
      </c>
    </row>
    <row r="223" spans="2:16" x14ac:dyDescent="0.25">
      <c r="B223" s="62"/>
      <c r="C223" s="56"/>
      <c r="D223" s="66"/>
      <c r="E223" s="66"/>
      <c r="F223" s="60"/>
      <c r="G223" s="43"/>
      <c r="H223" s="135"/>
      <c r="I223" s="135"/>
      <c r="J223" s="136"/>
      <c r="K223" s="137"/>
      <c r="L223" s="135"/>
      <c r="M223" s="138"/>
      <c r="N223" s="112"/>
      <c r="O223" s="18">
        <f t="shared" si="11"/>
        <v>0</v>
      </c>
    </row>
    <row r="224" spans="2:16" x14ac:dyDescent="0.25">
      <c r="B224" s="62"/>
      <c r="C224" s="56"/>
      <c r="D224" s="66"/>
      <c r="E224" s="66"/>
      <c r="F224" s="60"/>
      <c r="G224" s="43"/>
      <c r="H224" s="135"/>
      <c r="I224" s="135"/>
      <c r="J224" s="136"/>
      <c r="K224" s="137"/>
      <c r="L224" s="135"/>
      <c r="M224" s="138"/>
      <c r="N224" s="112"/>
      <c r="O224" s="18">
        <f t="shared" si="11"/>
        <v>0</v>
      </c>
    </row>
    <row r="225" spans="2:16" ht="15.75" thickBot="1" x14ac:dyDescent="0.3">
      <c r="B225" s="62"/>
      <c r="C225" s="56"/>
      <c r="D225" s="66"/>
      <c r="E225" s="66"/>
      <c r="F225" s="60"/>
      <c r="G225" s="45"/>
      <c r="H225" s="135"/>
      <c r="I225" s="135"/>
      <c r="J225" s="136"/>
      <c r="K225" s="137"/>
      <c r="L225" s="135"/>
      <c r="M225" s="138"/>
      <c r="N225" s="112"/>
      <c r="O225" s="18">
        <f t="shared" si="11"/>
        <v>0</v>
      </c>
    </row>
    <row r="226" spans="2:16" ht="15.75" thickBot="1" x14ac:dyDescent="0.3">
      <c r="B226" s="7" t="s">
        <v>72</v>
      </c>
      <c r="C226" s="8" t="s">
        <v>73</v>
      </c>
      <c r="D226" s="25">
        <f>H226</f>
        <v>0</v>
      </c>
      <c r="E226" s="25">
        <f>M226</f>
        <v>0</v>
      </c>
      <c r="F226" s="15"/>
      <c r="G226" s="15"/>
      <c r="H226" s="121"/>
      <c r="I226" s="121"/>
      <c r="J226" s="122"/>
      <c r="K226" s="122"/>
      <c r="L226" s="121"/>
      <c r="M226" s="139">
        <f>H226-L226</f>
        <v>0</v>
      </c>
      <c r="N226" s="112"/>
      <c r="O226" s="18">
        <f t="shared" si="11"/>
        <v>0</v>
      </c>
    </row>
    <row r="227" spans="2:16" ht="15.75" thickBot="1" x14ac:dyDescent="0.3">
      <c r="B227" s="68" t="s">
        <v>74</v>
      </c>
      <c r="C227" s="70" t="s">
        <v>75</v>
      </c>
      <c r="D227" s="72">
        <f>SUM(H227:H229)</f>
        <v>1240104.5299999998</v>
      </c>
      <c r="E227" s="72">
        <f>SUM(M227:M229)</f>
        <v>316309.12999999995</v>
      </c>
      <c r="F227" s="9">
        <v>65</v>
      </c>
      <c r="G227" s="11" t="s">
        <v>253</v>
      </c>
      <c r="H227" s="124">
        <v>392028.67</v>
      </c>
      <c r="I227" s="124">
        <v>392028.67</v>
      </c>
      <c r="J227" s="126" t="s">
        <v>102</v>
      </c>
      <c r="K227" s="126" t="s">
        <v>352</v>
      </c>
      <c r="L227" s="124">
        <v>244421.8</v>
      </c>
      <c r="M227" s="139">
        <f>I227-L227</f>
        <v>147606.87</v>
      </c>
      <c r="N227" s="112">
        <v>0</v>
      </c>
      <c r="O227" s="18">
        <f t="shared" si="11"/>
        <v>244421.8</v>
      </c>
    </row>
    <row r="228" spans="2:16" ht="63.6" customHeight="1" thickBot="1" x14ac:dyDescent="0.3">
      <c r="B228" s="74"/>
      <c r="C228" s="76"/>
      <c r="D228" s="78"/>
      <c r="E228" s="78"/>
      <c r="F228" s="2">
        <v>66</v>
      </c>
      <c r="G228" s="6" t="s">
        <v>117</v>
      </c>
      <c r="H228" s="112">
        <v>184316.4</v>
      </c>
      <c r="I228" s="112">
        <f>H228-50766.5</f>
        <v>133549.9</v>
      </c>
      <c r="J228" s="113" t="s">
        <v>117</v>
      </c>
      <c r="K228" s="113" t="s">
        <v>355</v>
      </c>
      <c r="L228" s="112">
        <f>100916+83766.8-51132.9</f>
        <v>133549.9</v>
      </c>
      <c r="M228" s="139">
        <f t="shared" ref="M228:M240" si="12">I228-L228</f>
        <v>0</v>
      </c>
      <c r="N228" s="112">
        <v>0</v>
      </c>
      <c r="O228" s="18">
        <f t="shared" si="11"/>
        <v>133549.9</v>
      </c>
      <c r="P228" s="107" t="s">
        <v>338</v>
      </c>
    </row>
    <row r="229" spans="2:16" ht="15.75" thickBot="1" x14ac:dyDescent="0.3">
      <c r="B229" s="75"/>
      <c r="C229" s="77"/>
      <c r="D229" s="79"/>
      <c r="E229" s="79"/>
      <c r="F229" s="10">
        <v>65</v>
      </c>
      <c r="G229" s="12" t="s">
        <v>254</v>
      </c>
      <c r="H229" s="127">
        <v>663759.46</v>
      </c>
      <c r="I229" s="127">
        <v>663759.46</v>
      </c>
      <c r="J229" s="129" t="s">
        <v>101</v>
      </c>
      <c r="K229" s="129" t="s">
        <v>350</v>
      </c>
      <c r="L229" s="127">
        <v>495057.2</v>
      </c>
      <c r="M229" s="139">
        <f t="shared" si="12"/>
        <v>168702.25999999995</v>
      </c>
      <c r="N229" s="112">
        <v>437304.7</v>
      </c>
      <c r="O229" s="18">
        <f t="shared" si="11"/>
        <v>57752.5</v>
      </c>
    </row>
    <row r="230" spans="2:16" ht="15.75" thickBot="1" x14ac:dyDescent="0.3">
      <c r="B230" s="29" t="s">
        <v>76</v>
      </c>
      <c r="C230" s="28" t="s">
        <v>77</v>
      </c>
      <c r="D230" s="30">
        <f>H230</f>
        <v>0</v>
      </c>
      <c r="E230" s="30">
        <f>M230</f>
        <v>0</v>
      </c>
      <c r="F230" s="26"/>
      <c r="G230" s="53"/>
      <c r="H230" s="140"/>
      <c r="I230" s="140"/>
      <c r="J230" s="141"/>
      <c r="K230" s="142"/>
      <c r="L230" s="143"/>
      <c r="M230" s="139">
        <f t="shared" si="12"/>
        <v>0</v>
      </c>
      <c r="N230" s="112"/>
      <c r="O230" s="18">
        <f t="shared" si="11"/>
        <v>0</v>
      </c>
    </row>
    <row r="231" spans="2:16" ht="15.75" thickBot="1" x14ac:dyDescent="0.3">
      <c r="B231" s="85" t="s">
        <v>78</v>
      </c>
      <c r="C231" s="55" t="s">
        <v>79</v>
      </c>
      <c r="D231" s="65">
        <f>SUM(H231:H240)</f>
        <v>986187.75000000012</v>
      </c>
      <c r="E231" s="65">
        <f>SUM(M231:M240)</f>
        <v>605954.71000000008</v>
      </c>
      <c r="F231" s="9">
        <v>67</v>
      </c>
      <c r="G231" s="11" t="s">
        <v>142</v>
      </c>
      <c r="H231" s="124">
        <v>30000</v>
      </c>
      <c r="I231" s="124">
        <v>30000</v>
      </c>
      <c r="J231" s="126" t="s">
        <v>96</v>
      </c>
      <c r="K231" s="126"/>
      <c r="L231" s="115"/>
      <c r="M231" s="139">
        <f t="shared" si="12"/>
        <v>30000</v>
      </c>
      <c r="N231" s="112"/>
      <c r="O231" s="18">
        <f t="shared" si="11"/>
        <v>0</v>
      </c>
    </row>
    <row r="232" spans="2:16" ht="75.75" thickBot="1" x14ac:dyDescent="0.3">
      <c r="B232" s="86"/>
      <c r="C232" s="56"/>
      <c r="D232" s="66"/>
      <c r="E232" s="66"/>
      <c r="F232" s="2">
        <v>67</v>
      </c>
      <c r="G232" s="2" t="s">
        <v>93</v>
      </c>
      <c r="H232" s="112">
        <v>86105.36</v>
      </c>
      <c r="I232" s="112">
        <v>86105.36</v>
      </c>
      <c r="J232" s="116" t="s">
        <v>93</v>
      </c>
      <c r="K232" s="113" t="s">
        <v>309</v>
      </c>
      <c r="L232" s="114">
        <f>30+84360.56+1684.8+30</f>
        <v>86105.36</v>
      </c>
      <c r="M232" s="139">
        <f t="shared" si="12"/>
        <v>0</v>
      </c>
      <c r="N232" s="112">
        <v>0</v>
      </c>
      <c r="O232" s="18">
        <f t="shared" si="11"/>
        <v>86105.36</v>
      </c>
    </row>
    <row r="233" spans="2:16" ht="15.75" thickBot="1" x14ac:dyDescent="0.3">
      <c r="B233" s="86"/>
      <c r="C233" s="56"/>
      <c r="D233" s="66"/>
      <c r="E233" s="66"/>
      <c r="F233" s="2">
        <v>67</v>
      </c>
      <c r="G233" s="6" t="s">
        <v>255</v>
      </c>
      <c r="H233" s="112">
        <v>250952.54</v>
      </c>
      <c r="I233" s="112">
        <v>212536.06</v>
      </c>
      <c r="J233" s="113" t="s">
        <v>342</v>
      </c>
      <c r="K233" s="113"/>
      <c r="L233" s="114">
        <v>212536.06</v>
      </c>
      <c r="M233" s="139">
        <f t="shared" si="12"/>
        <v>0</v>
      </c>
      <c r="N233" s="112">
        <v>212536.06</v>
      </c>
      <c r="O233" s="18">
        <f t="shared" si="11"/>
        <v>0</v>
      </c>
      <c r="P233" s="111"/>
    </row>
    <row r="234" spans="2:16" ht="15.75" thickBot="1" x14ac:dyDescent="0.3">
      <c r="B234" s="86"/>
      <c r="C234" s="56"/>
      <c r="D234" s="66"/>
      <c r="E234" s="66"/>
      <c r="F234" s="2">
        <v>67</v>
      </c>
      <c r="G234" s="6" t="s">
        <v>256</v>
      </c>
      <c r="H234" s="112">
        <v>250952.54</v>
      </c>
      <c r="I234" s="112">
        <v>250952.54</v>
      </c>
      <c r="J234" s="113" t="s">
        <v>98</v>
      </c>
      <c r="K234" s="113"/>
      <c r="L234" s="114"/>
      <c r="M234" s="139">
        <f t="shared" si="12"/>
        <v>250952.54</v>
      </c>
      <c r="N234" s="112"/>
      <c r="O234" s="18">
        <f t="shared" si="11"/>
        <v>0</v>
      </c>
    </row>
    <row r="235" spans="2:16" ht="15.75" thickBot="1" x14ac:dyDescent="0.3">
      <c r="B235" s="86"/>
      <c r="C235" s="56"/>
      <c r="D235" s="66"/>
      <c r="E235" s="66"/>
      <c r="F235" s="2">
        <v>67</v>
      </c>
      <c r="G235" s="6" t="s">
        <v>257</v>
      </c>
      <c r="H235" s="112">
        <v>250952.54</v>
      </c>
      <c r="I235" s="112">
        <v>250952.54</v>
      </c>
      <c r="J235" s="113" t="s">
        <v>99</v>
      </c>
      <c r="K235" s="113"/>
      <c r="L235" s="114"/>
      <c r="M235" s="139">
        <f t="shared" si="12"/>
        <v>250952.54</v>
      </c>
      <c r="N235" s="112"/>
      <c r="O235" s="18">
        <f t="shared" si="11"/>
        <v>0</v>
      </c>
    </row>
    <row r="236" spans="2:16" ht="15.75" thickBot="1" x14ac:dyDescent="0.3">
      <c r="B236" s="86"/>
      <c r="C236" s="56"/>
      <c r="D236" s="66"/>
      <c r="E236" s="66"/>
      <c r="F236" s="2">
        <v>67</v>
      </c>
      <c r="G236" s="6" t="s">
        <v>191</v>
      </c>
      <c r="H236" s="112">
        <v>13359.12</v>
      </c>
      <c r="I236" s="112">
        <v>13359.12</v>
      </c>
      <c r="J236" s="113" t="s">
        <v>190</v>
      </c>
      <c r="K236" s="113" t="s">
        <v>348</v>
      </c>
      <c r="L236" s="114">
        <v>13359.12</v>
      </c>
      <c r="M236" s="139">
        <f t="shared" si="12"/>
        <v>0</v>
      </c>
      <c r="N236" s="112">
        <v>0</v>
      </c>
      <c r="O236" s="18">
        <f t="shared" si="11"/>
        <v>13359.12</v>
      </c>
    </row>
    <row r="237" spans="2:16" ht="15.75" thickBot="1" x14ac:dyDescent="0.3">
      <c r="B237" s="86"/>
      <c r="C237" s="56"/>
      <c r="D237" s="66"/>
      <c r="E237" s="66"/>
      <c r="F237" s="2">
        <v>67</v>
      </c>
      <c r="G237" s="6" t="s">
        <v>254</v>
      </c>
      <c r="H237" s="112">
        <v>13564.11</v>
      </c>
      <c r="I237" s="112">
        <v>13564.11</v>
      </c>
      <c r="J237" s="113" t="s">
        <v>101</v>
      </c>
      <c r="K237" s="110" t="s">
        <v>351</v>
      </c>
      <c r="L237" s="114">
        <v>10836.88</v>
      </c>
      <c r="M237" s="139">
        <f t="shared" si="12"/>
        <v>2727.2300000000014</v>
      </c>
      <c r="N237" s="112">
        <v>0</v>
      </c>
      <c r="O237" s="18">
        <f t="shared" si="11"/>
        <v>10836.88</v>
      </c>
    </row>
    <row r="238" spans="2:16" ht="15.75" thickBot="1" x14ac:dyDescent="0.3">
      <c r="B238" s="86"/>
      <c r="C238" s="56"/>
      <c r="D238" s="66"/>
      <c r="E238" s="66"/>
      <c r="F238" s="2">
        <v>67</v>
      </c>
      <c r="G238" s="6" t="s">
        <v>253</v>
      </c>
      <c r="H238" s="112">
        <v>5028.8100000000004</v>
      </c>
      <c r="I238" s="112">
        <v>5028.8100000000004</v>
      </c>
      <c r="J238" s="113" t="s">
        <v>102</v>
      </c>
      <c r="K238" s="113"/>
      <c r="L238" s="114">
        <v>0</v>
      </c>
      <c r="M238" s="139">
        <f t="shared" si="12"/>
        <v>5028.8100000000004</v>
      </c>
      <c r="N238" s="112"/>
      <c r="O238" s="18">
        <f t="shared" si="11"/>
        <v>0</v>
      </c>
    </row>
    <row r="239" spans="2:16" ht="15.75" thickBot="1" x14ac:dyDescent="0.3">
      <c r="B239" s="86"/>
      <c r="C239" s="56"/>
      <c r="D239" s="66"/>
      <c r="E239" s="66"/>
      <c r="F239" s="2">
        <v>67</v>
      </c>
      <c r="G239" s="6" t="s">
        <v>135</v>
      </c>
      <c r="H239" s="112">
        <v>9072.73</v>
      </c>
      <c r="I239" s="112">
        <v>9072.73</v>
      </c>
      <c r="J239" s="113" t="s">
        <v>120</v>
      </c>
      <c r="K239" s="113"/>
      <c r="L239" s="114"/>
      <c r="M239" s="139">
        <f t="shared" si="12"/>
        <v>9072.73</v>
      </c>
      <c r="N239" s="112"/>
      <c r="O239" s="18">
        <f t="shared" si="11"/>
        <v>0</v>
      </c>
    </row>
    <row r="240" spans="2:16" ht="75" x14ac:dyDescent="0.25">
      <c r="B240" s="86"/>
      <c r="C240" s="56"/>
      <c r="D240" s="66"/>
      <c r="E240" s="66"/>
      <c r="F240" s="2">
        <v>67</v>
      </c>
      <c r="G240" s="6" t="s">
        <v>258</v>
      </c>
      <c r="H240" s="112">
        <v>76200</v>
      </c>
      <c r="I240" s="112">
        <f>76200+57096</f>
        <v>133296</v>
      </c>
      <c r="J240" s="113" t="s">
        <v>129</v>
      </c>
      <c r="K240" s="113" t="s">
        <v>343</v>
      </c>
      <c r="L240" s="114">
        <f>17815.14+58200+30+30</f>
        <v>76075.14</v>
      </c>
      <c r="M240" s="139">
        <f t="shared" si="12"/>
        <v>57220.86</v>
      </c>
      <c r="N240" s="112">
        <f>17815.14+45044.23+30</f>
        <v>62889.37</v>
      </c>
      <c r="O240" s="18">
        <f t="shared" si="11"/>
        <v>13185.769999999997</v>
      </c>
      <c r="P240" s="105"/>
    </row>
    <row r="241" spans="2:15" x14ac:dyDescent="0.25">
      <c r="B241" s="86"/>
      <c r="C241" s="56"/>
      <c r="D241" s="66"/>
      <c r="E241" s="66"/>
      <c r="F241" s="2"/>
      <c r="G241" s="6"/>
      <c r="H241" s="112"/>
      <c r="I241" s="112"/>
      <c r="J241" s="113"/>
      <c r="K241" s="113"/>
      <c r="L241" s="114"/>
      <c r="M241" s="114">
        <f t="shared" ref="M241" si="13">H241-L241</f>
        <v>0</v>
      </c>
      <c r="N241" s="112"/>
      <c r="O241" s="18">
        <f t="shared" si="11"/>
        <v>0</v>
      </c>
    </row>
    <row r="242" spans="2:15" ht="15.75" thickBot="1" x14ac:dyDescent="0.3">
      <c r="B242" s="87"/>
      <c r="C242" s="64"/>
      <c r="D242" s="67"/>
      <c r="E242" s="67"/>
      <c r="F242" s="10"/>
      <c r="G242" s="10"/>
      <c r="H242" s="127"/>
      <c r="I242" s="127"/>
      <c r="J242" s="128"/>
      <c r="K242" s="128"/>
      <c r="L242" s="127"/>
      <c r="M242" s="130"/>
      <c r="N242" s="112"/>
      <c r="O242" s="18">
        <f t="shared" si="11"/>
        <v>0</v>
      </c>
    </row>
    <row r="243" spans="2:15" ht="15.75" thickBot="1" x14ac:dyDescent="0.3">
      <c r="B243" s="33" t="s">
        <v>80</v>
      </c>
      <c r="C243" s="31" t="s">
        <v>81</v>
      </c>
      <c r="D243" s="32">
        <f>SUM(D7:D242)</f>
        <v>65455958.259999998</v>
      </c>
      <c r="E243" s="32">
        <f>SUM(E7:E242)</f>
        <v>45609488.210000008</v>
      </c>
      <c r="F243" s="34"/>
      <c r="G243" s="34">
        <f>SUM(G7:G241)</f>
        <v>0</v>
      </c>
      <c r="H243" s="144">
        <f>SUM(H7:H241)</f>
        <v>65455958.260000005</v>
      </c>
      <c r="I243" s="144">
        <f t="shared" ref="I243" si="14">SUM(I7:I241)</f>
        <v>65012440.530000009</v>
      </c>
      <c r="J243" s="145">
        <f>SUM(J7:J241)</f>
        <v>0</v>
      </c>
      <c r="K243" s="145">
        <f>SUM(K7:K241)</f>
        <v>0</v>
      </c>
      <c r="L243" s="145">
        <f t="shared" ref="L243:M243" si="15">SUM(L7:L241)</f>
        <v>19402952.32</v>
      </c>
      <c r="M243" s="145">
        <f t="shared" si="15"/>
        <v>45609488.210000001</v>
      </c>
      <c r="N243" s="146"/>
      <c r="O243" s="36"/>
    </row>
    <row r="244" spans="2:15" x14ac:dyDescent="0.25">
      <c r="H244" s="147"/>
      <c r="I244" s="147"/>
      <c r="J244" s="103"/>
      <c r="K244" s="103"/>
      <c r="L244" s="103"/>
      <c r="M244" s="103"/>
      <c r="N244" s="103"/>
      <c r="O244"/>
    </row>
    <row r="245" spans="2:15" x14ac:dyDescent="0.25">
      <c r="D245" s="1"/>
      <c r="H245" s="147"/>
      <c r="I245" s="147"/>
      <c r="J245" s="103"/>
      <c r="K245" s="103"/>
      <c r="L245" s="103"/>
      <c r="M245" s="147"/>
      <c r="N245" s="147"/>
    </row>
    <row r="246" spans="2:15" x14ac:dyDescent="0.25">
      <c r="G246" s="1"/>
    </row>
    <row r="247" spans="2:15" x14ac:dyDescent="0.25">
      <c r="J247" s="1"/>
    </row>
    <row r="248" spans="2:15" x14ac:dyDescent="0.25">
      <c r="F248" s="1"/>
    </row>
    <row r="249" spans="2:15" x14ac:dyDescent="0.25">
      <c r="E249" s="1"/>
    </row>
    <row r="250" spans="2:15" x14ac:dyDescent="0.25">
      <c r="J250" s="16"/>
    </row>
    <row r="251" spans="2:15" x14ac:dyDescent="0.25">
      <c r="K251" s="16"/>
    </row>
    <row r="252" spans="2:15" x14ac:dyDescent="0.25">
      <c r="L252" s="16"/>
    </row>
    <row r="255" spans="2:15" x14ac:dyDescent="0.25">
      <c r="I255" s="54"/>
    </row>
    <row r="258" spans="11:11" x14ac:dyDescent="0.25">
      <c r="K258" s="16"/>
    </row>
    <row r="259" spans="11:11" x14ac:dyDescent="0.25">
      <c r="K259" s="47"/>
    </row>
  </sheetData>
  <mergeCells count="168">
    <mergeCell ref="B2:O2"/>
    <mergeCell ref="B3:O3"/>
    <mergeCell ref="B18:B26"/>
    <mergeCell ref="C18:C26"/>
    <mergeCell ref="D18:D26"/>
    <mergeCell ref="E18:E26"/>
    <mergeCell ref="B7:B17"/>
    <mergeCell ref="C7:C17"/>
    <mergeCell ref="D7:D17"/>
    <mergeCell ref="E7:E17"/>
    <mergeCell ref="B39:B55"/>
    <mergeCell ref="C39:C55"/>
    <mergeCell ref="D39:D55"/>
    <mergeCell ref="E39:E55"/>
    <mergeCell ref="B56:B57"/>
    <mergeCell ref="C56:C57"/>
    <mergeCell ref="D56:D57"/>
    <mergeCell ref="E56:E57"/>
    <mergeCell ref="B27:B38"/>
    <mergeCell ref="C27:C38"/>
    <mergeCell ref="D27:D38"/>
    <mergeCell ref="E27:E38"/>
    <mergeCell ref="O59:O62"/>
    <mergeCell ref="P59:P62"/>
    <mergeCell ref="B69:B77"/>
    <mergeCell ref="C69:C77"/>
    <mergeCell ref="D69:D77"/>
    <mergeCell ref="E69:E77"/>
    <mergeCell ref="H59:H62"/>
    <mergeCell ref="I59:I62"/>
    <mergeCell ref="J59:J62"/>
    <mergeCell ref="K59:K62"/>
    <mergeCell ref="L59:L62"/>
    <mergeCell ref="M59:M62"/>
    <mergeCell ref="B58:B68"/>
    <mergeCell ref="C58:C68"/>
    <mergeCell ref="D58:D68"/>
    <mergeCell ref="E58:E68"/>
    <mergeCell ref="F59:F62"/>
    <mergeCell ref="G59:G62"/>
    <mergeCell ref="B79:B88"/>
    <mergeCell ref="C79:C88"/>
    <mergeCell ref="D79:D88"/>
    <mergeCell ref="E79:E88"/>
    <mergeCell ref="B89:B100"/>
    <mergeCell ref="C89:C100"/>
    <mergeCell ref="D89:D100"/>
    <mergeCell ref="E89:E100"/>
    <mergeCell ref="N59:N62"/>
    <mergeCell ref="B119:B129"/>
    <mergeCell ref="C119:C129"/>
    <mergeCell ref="D119:D129"/>
    <mergeCell ref="E119:E129"/>
    <mergeCell ref="B130:B137"/>
    <mergeCell ref="C130:C137"/>
    <mergeCell ref="D130:D137"/>
    <mergeCell ref="E130:E137"/>
    <mergeCell ref="B101:B107"/>
    <mergeCell ref="C101:C107"/>
    <mergeCell ref="D101:D107"/>
    <mergeCell ref="E101:E107"/>
    <mergeCell ref="B108:B118"/>
    <mergeCell ref="C108:C118"/>
    <mergeCell ref="D108:D118"/>
    <mergeCell ref="E108:E118"/>
    <mergeCell ref="M130:M131"/>
    <mergeCell ref="B138:B143"/>
    <mergeCell ref="C138:C143"/>
    <mergeCell ref="D138:D143"/>
    <mergeCell ref="E138:E143"/>
    <mergeCell ref="F138:F139"/>
    <mergeCell ref="H138:H139"/>
    <mergeCell ref="I138:I139"/>
    <mergeCell ref="J138:J139"/>
    <mergeCell ref="K138:K139"/>
    <mergeCell ref="F130:F131"/>
    <mergeCell ref="H130:H131"/>
    <mergeCell ref="I130:I131"/>
    <mergeCell ref="J130:J131"/>
    <mergeCell ref="K130:K131"/>
    <mergeCell ref="L130:L131"/>
    <mergeCell ref="B149:B154"/>
    <mergeCell ref="C149:C154"/>
    <mergeCell ref="D149:D154"/>
    <mergeCell ref="E149:E154"/>
    <mergeCell ref="F149:F154"/>
    <mergeCell ref="G149:G154"/>
    <mergeCell ref="L138:L139"/>
    <mergeCell ref="M138:M139"/>
    <mergeCell ref="B144:B148"/>
    <mergeCell ref="C144:C148"/>
    <mergeCell ref="D144:D148"/>
    <mergeCell ref="E144:E148"/>
    <mergeCell ref="K155:K156"/>
    <mergeCell ref="L155:L156"/>
    <mergeCell ref="M155:M156"/>
    <mergeCell ref="N155:N156"/>
    <mergeCell ref="B157:B158"/>
    <mergeCell ref="C157:C158"/>
    <mergeCell ref="D157:D158"/>
    <mergeCell ref="E157:E158"/>
    <mergeCell ref="N149:N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H149:H154"/>
    <mergeCell ref="I149:I154"/>
    <mergeCell ref="J149:J154"/>
    <mergeCell ref="K149:K154"/>
    <mergeCell ref="L149:L154"/>
    <mergeCell ref="M149:M154"/>
    <mergeCell ref="B180:B182"/>
    <mergeCell ref="C180:C182"/>
    <mergeCell ref="D180:D182"/>
    <mergeCell ref="E180:E182"/>
    <mergeCell ref="B183:B186"/>
    <mergeCell ref="C183:C186"/>
    <mergeCell ref="D183:D186"/>
    <mergeCell ref="E183:E186"/>
    <mergeCell ref="B159:B168"/>
    <mergeCell ref="C159:C168"/>
    <mergeCell ref="D159:D168"/>
    <mergeCell ref="E159:E168"/>
    <mergeCell ref="B169:B178"/>
    <mergeCell ref="C169:C178"/>
    <mergeCell ref="D169:D178"/>
    <mergeCell ref="E169:E178"/>
    <mergeCell ref="B214:B217"/>
    <mergeCell ref="C214:C217"/>
    <mergeCell ref="D214:D217"/>
    <mergeCell ref="E214:E217"/>
    <mergeCell ref="B218:B219"/>
    <mergeCell ref="C218:C219"/>
    <mergeCell ref="D218:D219"/>
    <mergeCell ref="E218:E219"/>
    <mergeCell ref="B187:B192"/>
    <mergeCell ref="C187:C192"/>
    <mergeCell ref="D187:D192"/>
    <mergeCell ref="E187:E192"/>
    <mergeCell ref="B195:B212"/>
    <mergeCell ref="C195:C212"/>
    <mergeCell ref="D195:D212"/>
    <mergeCell ref="E195:E212"/>
    <mergeCell ref="B231:B242"/>
    <mergeCell ref="C231:C242"/>
    <mergeCell ref="D231:D242"/>
    <mergeCell ref="E231:E242"/>
    <mergeCell ref="I220:I225"/>
    <mergeCell ref="J220:J225"/>
    <mergeCell ref="K220:K225"/>
    <mergeCell ref="L220:L225"/>
    <mergeCell ref="M220:M225"/>
    <mergeCell ref="B227:B229"/>
    <mergeCell ref="C227:C229"/>
    <mergeCell ref="D227:D229"/>
    <mergeCell ref="E227:E229"/>
    <mergeCell ref="B220:B225"/>
    <mergeCell ref="C220:C225"/>
    <mergeCell ref="D220:D225"/>
    <mergeCell ref="E220:E225"/>
    <mergeCell ref="F220:F225"/>
    <mergeCell ref="H220:H225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RENDICONTAZIONE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Evangelina Caso</cp:lastModifiedBy>
  <cp:lastPrinted>2023-09-07T11:12:37Z</cp:lastPrinted>
  <dcterms:created xsi:type="dcterms:W3CDTF">2023-02-14T09:34:16Z</dcterms:created>
  <dcterms:modified xsi:type="dcterms:W3CDTF">2023-10-27T06:52:34Z</dcterms:modified>
</cp:coreProperties>
</file>